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LINH\15.THAY THẾ QĐ32\Dinhmucgiadat (xinykien)\"/>
    </mc:Choice>
  </mc:AlternateContent>
  <xr:revisionPtr revIDLastSave="0" documentId="13_ncr:1_{CB193133-6E56-400C-B5E5-FF01308E9476}" xr6:coauthVersionLast="47" xr6:coauthVersionMax="47" xr10:uidLastSave="{00000000-0000-0000-0000-000000000000}"/>
  <bookViews>
    <workbookView xWindow="-120" yWindow="-120" windowWidth="29040" windowHeight="15840" tabRatio="761" firstSheet="2" activeTab="10" xr2:uid="{00000000-000D-0000-FFFF-FFFF00000000}"/>
  </bookViews>
  <sheets>
    <sheet name="tinh don gia" sheetId="17" state="hidden" r:id="rId1"/>
    <sheet name="foxz" sheetId="20" state="veryHidden" r:id=""/>
    <sheet name="Tổng hợp" sheetId="13" r:id="rId2"/>
    <sheet name="Lao đông" sheetId="16" r:id="rId3"/>
    <sheet name="Dụng cụ" sheetId="10" r:id="rId4"/>
    <sheet name="Thiết bị" sheetId="11" r:id="rId5"/>
    <sheet name="Vật liệu" sheetId="12" r:id="rId6"/>
    <sheet name="nang luong" sheetId="18" r:id="rId7"/>
    <sheet name="Lương ngày" sheetId="8" r:id="rId8"/>
    <sheet name="Đơn giá" sheetId="9" r:id="rId9"/>
    <sheet name="heso" sheetId="19" r:id="rId10"/>
  </sheets>
  <definedNames>
    <definedName name="_xlnm.Print_Area" localSheetId="4">'Dụng cụ'!$K$1:$AB$40</definedName>
    <definedName name="_xlnm.Print_Area" localSheetId="8">'Lương ngày'!$A$2:$J$55</definedName>
    <definedName name="_xlnm.Print_Area" localSheetId="0">'tinh don gia'!$A$1:$P$11</definedName>
    <definedName name="_xlnm.Print_Area" localSheetId="2">'Tổng hợp'!$A$1:$Y$12</definedName>
    <definedName name="_xlnm.Print_Area" localSheetId="5">'Thiết bị'!$K$1:$AC$27</definedName>
    <definedName name="_xlnm.Print_Area" localSheetId="6">'Vật liệu'!$F$1:$M$33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8" i="18" l="1"/>
  <c r="R18" i="18"/>
  <c r="Q18" i="18"/>
  <c r="P18" i="18"/>
  <c r="S16" i="18"/>
  <c r="R16" i="18"/>
  <c r="Q16" i="18"/>
  <c r="P16" i="18"/>
  <c r="S15" i="18"/>
  <c r="R15" i="18"/>
  <c r="U8" i="13" s="1"/>
  <c r="Q15" i="18"/>
  <c r="P15" i="18"/>
  <c r="S14" i="18"/>
  <c r="R14" i="18"/>
  <c r="Q14" i="18"/>
  <c r="P14" i="18"/>
  <c r="X32" i="12"/>
  <c r="W32" i="12"/>
  <c r="V32" i="12"/>
  <c r="U32" i="12"/>
  <c r="X30" i="12"/>
  <c r="W30" i="12"/>
  <c r="V30" i="12"/>
  <c r="U30" i="12"/>
  <c r="X29" i="12"/>
  <c r="W29" i="12"/>
  <c r="V29" i="12"/>
  <c r="U29" i="12"/>
  <c r="X28" i="12"/>
  <c r="W28" i="12"/>
  <c r="V28" i="12"/>
  <c r="U28" i="12"/>
  <c r="AC26" i="11"/>
  <c r="AB26" i="11"/>
  <c r="AA26" i="11"/>
  <c r="Z26" i="11"/>
  <c r="AC24" i="11"/>
  <c r="AB24" i="11"/>
  <c r="AA24" i="11"/>
  <c r="Z24" i="11"/>
  <c r="AC23" i="11"/>
  <c r="AB23" i="11"/>
  <c r="AA23" i="11"/>
  <c r="Z23" i="11"/>
  <c r="K8" i="13" s="1"/>
  <c r="AC22" i="11"/>
  <c r="AB22" i="11"/>
  <c r="AA22" i="11"/>
  <c r="Z22" i="11"/>
  <c r="AC39" i="10"/>
  <c r="J11" i="13" s="1"/>
  <c r="AB39" i="10"/>
  <c r="I11" i="13" s="1"/>
  <c r="AA39" i="10"/>
  <c r="Z39" i="10"/>
  <c r="AC37" i="10"/>
  <c r="J9" i="13" s="1"/>
  <c r="AB37" i="10"/>
  <c r="I9" i="13" s="1"/>
  <c r="AA37" i="10"/>
  <c r="Z37" i="10"/>
  <c r="AC36" i="10"/>
  <c r="AB36" i="10"/>
  <c r="AA36" i="10"/>
  <c r="Z36" i="10"/>
  <c r="AC35" i="10"/>
  <c r="AB35" i="10"/>
  <c r="AA35" i="10"/>
  <c r="H7" i="13" s="1"/>
  <c r="Z35" i="10"/>
  <c r="G7" i="13" s="1"/>
  <c r="AE23" i="16"/>
  <c r="AD23" i="16"/>
  <c r="AC23" i="16"/>
  <c r="AB23" i="16"/>
  <c r="AE22" i="16"/>
  <c r="AD22" i="16"/>
  <c r="AC22" i="16"/>
  <c r="AB22" i="16"/>
  <c r="AE21" i="16"/>
  <c r="AD21" i="16"/>
  <c r="AC21" i="16"/>
  <c r="AB21" i="16"/>
  <c r="AE20" i="16"/>
  <c r="AD20" i="16"/>
  <c r="AD19" i="16" s="1"/>
  <c r="AC20" i="16"/>
  <c r="AB20" i="16"/>
  <c r="AE18" i="16"/>
  <c r="AD18" i="16"/>
  <c r="AC18" i="16"/>
  <c r="AB18" i="16"/>
  <c r="AE17" i="16"/>
  <c r="AD17" i="16"/>
  <c r="AC17" i="16"/>
  <c r="AB17" i="16"/>
  <c r="AB16" i="16" s="1"/>
  <c r="AE15" i="16"/>
  <c r="AD15" i="16"/>
  <c r="AC15" i="16"/>
  <c r="AB15" i="16"/>
  <c r="AE14" i="16"/>
  <c r="AD14" i="16"/>
  <c r="AC14" i="16"/>
  <c r="AB14" i="16"/>
  <c r="AB11" i="16" s="1"/>
  <c r="AE13" i="16"/>
  <c r="AD13" i="16"/>
  <c r="AC13" i="16"/>
  <c r="AB13" i="16"/>
  <c r="AE12" i="16"/>
  <c r="AD12" i="16"/>
  <c r="AC12" i="16"/>
  <c r="AB12" i="16"/>
  <c r="AE9" i="16"/>
  <c r="AD9" i="16"/>
  <c r="AD7" i="16" s="1"/>
  <c r="AC9" i="16"/>
  <c r="AB9" i="16"/>
  <c r="AE8" i="16"/>
  <c r="AD8" i="16"/>
  <c r="AC8" i="16"/>
  <c r="AB8" i="16"/>
  <c r="AB7" i="16" s="1"/>
  <c r="K18" i="18"/>
  <c r="K17" i="18"/>
  <c r="S17" i="18" s="1"/>
  <c r="S19" i="18" s="1"/>
  <c r="W18" i="16"/>
  <c r="W17" i="16"/>
  <c r="W15" i="16"/>
  <c r="W14" i="16"/>
  <c r="W13" i="16"/>
  <c r="W12" i="16"/>
  <c r="W9" i="16"/>
  <c r="W8" i="16"/>
  <c r="H9" i="13"/>
  <c r="T11" i="13"/>
  <c r="S11" i="13"/>
  <c r="T9" i="13"/>
  <c r="S9" i="13"/>
  <c r="T7" i="13"/>
  <c r="S7" i="13"/>
  <c r="O18" i="18"/>
  <c r="N18" i="18"/>
  <c r="M18" i="18"/>
  <c r="L18" i="18"/>
  <c r="O17" i="18"/>
  <c r="N17" i="18"/>
  <c r="M17" i="18"/>
  <c r="L17" i="18"/>
  <c r="J18" i="18"/>
  <c r="I18" i="18"/>
  <c r="H18" i="18"/>
  <c r="H19" i="18" s="1"/>
  <c r="G18" i="18"/>
  <c r="G19" i="18" s="1"/>
  <c r="J19" i="18"/>
  <c r="I19" i="18"/>
  <c r="F19" i="18"/>
  <c r="E19" i="18"/>
  <c r="D19" i="18"/>
  <c r="C19" i="18"/>
  <c r="F18" i="18"/>
  <c r="E18" i="18"/>
  <c r="D18" i="18"/>
  <c r="C18" i="18"/>
  <c r="B18" i="18"/>
  <c r="A18" i="18"/>
  <c r="F17" i="18"/>
  <c r="E17" i="18"/>
  <c r="D17" i="18"/>
  <c r="C17" i="18"/>
  <c r="B17" i="18"/>
  <c r="A17" i="18"/>
  <c r="F16" i="18"/>
  <c r="E16" i="18"/>
  <c r="D16" i="18"/>
  <c r="C16" i="18"/>
  <c r="B16" i="18"/>
  <c r="A16" i="18"/>
  <c r="F15" i="18"/>
  <c r="E15" i="18"/>
  <c r="D15" i="18"/>
  <c r="C15" i="18"/>
  <c r="B15" i="18"/>
  <c r="A15" i="18"/>
  <c r="F14" i="18"/>
  <c r="E14" i="18"/>
  <c r="D14" i="18"/>
  <c r="C14" i="18"/>
  <c r="B14" i="18"/>
  <c r="A14" i="18"/>
  <c r="O16" i="18"/>
  <c r="N16" i="18"/>
  <c r="M16" i="18"/>
  <c r="L16" i="18"/>
  <c r="K16" i="18"/>
  <c r="O15" i="18"/>
  <c r="N15" i="18"/>
  <c r="M15" i="18"/>
  <c r="L15" i="18"/>
  <c r="K15" i="18"/>
  <c r="O14" i="18"/>
  <c r="N14" i="18"/>
  <c r="M14" i="18"/>
  <c r="L14" i="18"/>
  <c r="K14" i="18"/>
  <c r="O19" i="18"/>
  <c r="N19" i="18"/>
  <c r="M19" i="18"/>
  <c r="L19" i="18"/>
  <c r="K19" i="18"/>
  <c r="G11" i="13"/>
  <c r="G9" i="13"/>
  <c r="Y39" i="10"/>
  <c r="X39" i="10"/>
  <c r="W39" i="10"/>
  <c r="V39" i="10"/>
  <c r="Y38" i="10"/>
  <c r="X38" i="10"/>
  <c r="W38" i="10"/>
  <c r="V38" i="10"/>
  <c r="U38" i="10"/>
  <c r="AC38" i="10" s="1"/>
  <c r="Y37" i="10"/>
  <c r="X37" i="10"/>
  <c r="W37" i="10"/>
  <c r="V37" i="10"/>
  <c r="U37" i="10"/>
  <c r="Y36" i="10"/>
  <c r="X36" i="10"/>
  <c r="W36" i="10"/>
  <c r="V36" i="10"/>
  <c r="U36" i="10"/>
  <c r="Y35" i="10"/>
  <c r="X35" i="10"/>
  <c r="W35" i="10"/>
  <c r="V35" i="10"/>
  <c r="U35" i="10"/>
  <c r="T39" i="10"/>
  <c r="S39" i="10"/>
  <c r="R39" i="10"/>
  <c r="Q39" i="10"/>
  <c r="T38" i="10"/>
  <c r="S38" i="10"/>
  <c r="R38" i="10"/>
  <c r="Q38" i="10"/>
  <c r="T37" i="10"/>
  <c r="S37" i="10"/>
  <c r="R37" i="10"/>
  <c r="Q37" i="10"/>
  <c r="T36" i="10"/>
  <c r="S36" i="10"/>
  <c r="R36" i="10"/>
  <c r="Q36" i="10"/>
  <c r="R35" i="10"/>
  <c r="S35" i="10"/>
  <c r="T35" i="10"/>
  <c r="Q35" i="10"/>
  <c r="T26" i="11"/>
  <c r="S26" i="11"/>
  <c r="R26" i="11"/>
  <c r="Q26" i="11"/>
  <c r="T25" i="11"/>
  <c r="S25" i="11"/>
  <c r="R25" i="11"/>
  <c r="Q25" i="11"/>
  <c r="T24" i="11"/>
  <c r="S24" i="11"/>
  <c r="R24" i="11"/>
  <c r="Q24" i="11"/>
  <c r="T23" i="11"/>
  <c r="S23" i="11"/>
  <c r="R23" i="11"/>
  <c r="Q23" i="11"/>
  <c r="S22" i="11"/>
  <c r="Y26" i="11"/>
  <c r="X26" i="11"/>
  <c r="W26" i="11"/>
  <c r="V26" i="11"/>
  <c r="Y25" i="11"/>
  <c r="X25" i="11"/>
  <c r="W25" i="11"/>
  <c r="V25" i="11"/>
  <c r="U25" i="11"/>
  <c r="AC25" i="11" s="1"/>
  <c r="Y24" i="11"/>
  <c r="X24" i="11"/>
  <c r="W24" i="11"/>
  <c r="V24" i="11"/>
  <c r="U24" i="11"/>
  <c r="Y23" i="11"/>
  <c r="X23" i="11"/>
  <c r="W23" i="11"/>
  <c r="V23" i="11"/>
  <c r="U23" i="11"/>
  <c r="Y22" i="11"/>
  <c r="X22" i="11"/>
  <c r="W22" i="11"/>
  <c r="V22" i="11"/>
  <c r="U22" i="11"/>
  <c r="N11" i="13" s="1"/>
  <c r="T22" i="11"/>
  <c r="R22" i="11"/>
  <c r="Q22" i="11"/>
  <c r="T32" i="12"/>
  <c r="S32" i="12"/>
  <c r="R32" i="12"/>
  <c r="Q32" i="12"/>
  <c r="T31" i="12"/>
  <c r="S31" i="12"/>
  <c r="R31" i="12"/>
  <c r="Q31" i="12"/>
  <c r="P31" i="12"/>
  <c r="X31" i="12" s="1"/>
  <c r="T30" i="12"/>
  <c r="S30" i="12"/>
  <c r="R30" i="12"/>
  <c r="Q30" i="12"/>
  <c r="P30" i="12"/>
  <c r="T29" i="12"/>
  <c r="S29" i="12"/>
  <c r="R29" i="12"/>
  <c r="Q29" i="12"/>
  <c r="P29" i="12"/>
  <c r="T28" i="12"/>
  <c r="S28" i="12"/>
  <c r="R28" i="12"/>
  <c r="Q28" i="12"/>
  <c r="P28" i="12"/>
  <c r="AE7" i="16"/>
  <c r="AC19" i="16"/>
  <c r="AE19" i="16"/>
  <c r="AE16" i="16"/>
  <c r="AD16" i="16"/>
  <c r="AC16" i="16"/>
  <c r="AE11" i="16"/>
  <c r="AD11" i="16"/>
  <c r="AC7" i="16"/>
  <c r="E32" i="19"/>
  <c r="E31" i="19"/>
  <c r="E30" i="19"/>
  <c r="E29" i="19"/>
  <c r="E28" i="19"/>
  <c r="E27" i="19"/>
  <c r="E26" i="19"/>
  <c r="E25" i="19"/>
  <c r="E24" i="19"/>
  <c r="E23" i="19"/>
  <c r="E22" i="19"/>
  <c r="E21" i="19"/>
  <c r="E15" i="19"/>
  <c r="E14" i="19"/>
  <c r="E13" i="19"/>
  <c r="E12" i="19"/>
  <c r="E11" i="19"/>
  <c r="E10" i="19"/>
  <c r="E9" i="19"/>
  <c r="E8" i="19"/>
  <c r="E7" i="19"/>
  <c r="E6" i="19"/>
  <c r="E4" i="19"/>
  <c r="E5" i="19"/>
  <c r="D32" i="19"/>
  <c r="D31" i="19"/>
  <c r="D30" i="19"/>
  <c r="D29" i="19"/>
  <c r="D28" i="19"/>
  <c r="D27" i="19"/>
  <c r="D26" i="19"/>
  <c r="D25" i="19"/>
  <c r="D24" i="19"/>
  <c r="D23" i="19"/>
  <c r="D22" i="19"/>
  <c r="D21" i="19"/>
  <c r="D15" i="19"/>
  <c r="D6" i="19"/>
  <c r="D5" i="19"/>
  <c r="D14" i="19"/>
  <c r="D13" i="19"/>
  <c r="D12" i="19"/>
  <c r="D11" i="19"/>
  <c r="D10" i="19"/>
  <c r="D9" i="19"/>
  <c r="D8" i="19"/>
  <c r="D7" i="19"/>
  <c r="D4" i="19"/>
  <c r="V8" i="16"/>
  <c r="T8" i="16"/>
  <c r="Q8" i="16"/>
  <c r="S8" i="16" s="1"/>
  <c r="A11" i="13"/>
  <c r="A10" i="13"/>
  <c r="A9" i="13"/>
  <c r="A8" i="13"/>
  <c r="A7" i="13"/>
  <c r="AB13" i="11"/>
  <c r="AA13" i="11"/>
  <c r="AB12" i="11"/>
  <c r="AA12" i="11"/>
  <c r="AB11" i="11"/>
  <c r="AA11" i="11"/>
  <c r="AB10" i="11"/>
  <c r="AA10" i="11"/>
  <c r="AB7" i="11"/>
  <c r="AA7" i="11"/>
  <c r="J10" i="13" l="1"/>
  <c r="Z38" i="10"/>
  <c r="Z25" i="11"/>
  <c r="K10" i="13" s="1"/>
  <c r="U31" i="12"/>
  <c r="P17" i="18"/>
  <c r="P19" i="18" s="1"/>
  <c r="AA38" i="10"/>
  <c r="AA25" i="11"/>
  <c r="V31" i="12"/>
  <c r="Q17" i="18"/>
  <c r="Q19" i="18" s="1"/>
  <c r="AB38" i="10"/>
  <c r="AB25" i="11"/>
  <c r="W31" i="12"/>
  <c r="R17" i="18"/>
  <c r="AB19" i="16"/>
  <c r="AB25" i="16" s="1"/>
  <c r="P31" i="16" s="1"/>
  <c r="C7" i="13" s="1"/>
  <c r="AC11" i="16"/>
  <c r="AC25" i="16" s="1"/>
  <c r="P32" i="12"/>
  <c r="U26" i="11"/>
  <c r="U39" i="10"/>
  <c r="AE25" i="16"/>
  <c r="AD25" i="16"/>
  <c r="AC40" i="10"/>
  <c r="L8" i="13"/>
  <c r="L10" i="13"/>
  <c r="H11" i="13"/>
  <c r="V8" i="13"/>
  <c r="V10" i="13"/>
  <c r="K7" i="13"/>
  <c r="N8" i="13"/>
  <c r="N10" i="13"/>
  <c r="I7" i="13"/>
  <c r="K9" i="13"/>
  <c r="K11" i="13"/>
  <c r="G8" i="13"/>
  <c r="G10" i="13"/>
  <c r="U7" i="13"/>
  <c r="U9" i="13"/>
  <c r="U11" i="13"/>
  <c r="J7" i="13"/>
  <c r="M8" i="13"/>
  <c r="L9" i="13"/>
  <c r="L11" i="13"/>
  <c r="H8" i="13"/>
  <c r="H10" i="13"/>
  <c r="V7" i="13"/>
  <c r="V9" i="13"/>
  <c r="V11" i="13"/>
  <c r="M7" i="13"/>
  <c r="M9" i="13"/>
  <c r="M11" i="13"/>
  <c r="I8" i="13"/>
  <c r="I10" i="13"/>
  <c r="S8" i="13"/>
  <c r="M10" i="13"/>
  <c r="N7" i="13"/>
  <c r="N9" i="13"/>
  <c r="J8" i="13"/>
  <c r="T8" i="13"/>
  <c r="G12" i="13"/>
  <c r="K12" i="13"/>
  <c r="Z27" i="11"/>
  <c r="AC27" i="11"/>
  <c r="AB27" i="11"/>
  <c r="U8" i="16"/>
  <c r="O21" i="10"/>
  <c r="O20" i="10"/>
  <c r="O25" i="10"/>
  <c r="O24" i="10"/>
  <c r="O23" i="10"/>
  <c r="X26" i="10"/>
  <c r="X24" i="10"/>
  <c r="X18" i="10"/>
  <c r="X17" i="10"/>
  <c r="X10" i="10"/>
  <c r="X9" i="10"/>
  <c r="X8" i="10"/>
  <c r="O14" i="10"/>
  <c r="O10" i="10"/>
  <c r="O26" i="10"/>
  <c r="O22" i="10"/>
  <c r="O19" i="10"/>
  <c r="O18" i="10"/>
  <c r="O17" i="10"/>
  <c r="O16" i="10"/>
  <c r="O15" i="10"/>
  <c r="O13" i="10"/>
  <c r="O12" i="10"/>
  <c r="O11" i="10"/>
  <c r="O9" i="10"/>
  <c r="O8" i="10"/>
  <c r="O7" i="10"/>
  <c r="P13" i="11"/>
  <c r="P12" i="11"/>
  <c r="P11" i="11"/>
  <c r="P10" i="11"/>
  <c r="P9" i="11"/>
  <c r="P8" i="11"/>
  <c r="P7" i="11"/>
  <c r="I20" i="12"/>
  <c r="I19" i="12"/>
  <c r="I18" i="12"/>
  <c r="I17" i="12"/>
  <c r="I16" i="12"/>
  <c r="I15" i="12"/>
  <c r="I14" i="12"/>
  <c r="I13" i="12"/>
  <c r="I12" i="12"/>
  <c r="I11" i="12"/>
  <c r="I10" i="12"/>
  <c r="I9" i="12"/>
  <c r="I8" i="12"/>
  <c r="I7" i="12"/>
  <c r="K26" i="11"/>
  <c r="K25" i="11"/>
  <c r="K24" i="11"/>
  <c r="K23" i="11"/>
  <c r="K22" i="11"/>
  <c r="F28" i="12" s="1"/>
  <c r="K35" i="16"/>
  <c r="K34" i="16"/>
  <c r="K33" i="16"/>
  <c r="B9" i="13" s="1"/>
  <c r="K32" i="16"/>
  <c r="B8" i="13" s="1"/>
  <c r="K36" i="10"/>
  <c r="K37" i="10"/>
  <c r="K38" i="10"/>
  <c r="K39" i="10"/>
  <c r="K35" i="10"/>
  <c r="P25" i="16"/>
  <c r="O34" i="16" s="1"/>
  <c r="O25" i="16"/>
  <c r="N35" i="16" s="1"/>
  <c r="O39" i="10" s="1"/>
  <c r="N25" i="16"/>
  <c r="M33" i="16" s="1"/>
  <c r="M25" i="16"/>
  <c r="K31" i="16"/>
  <c r="B7" i="13" s="1"/>
  <c r="K20" i="12"/>
  <c r="J20" i="12"/>
  <c r="K19" i="12"/>
  <c r="J19" i="12"/>
  <c r="K18" i="12"/>
  <c r="J18" i="12"/>
  <c r="K17" i="12"/>
  <c r="J17" i="12"/>
  <c r="K16" i="12"/>
  <c r="J16" i="12"/>
  <c r="K15" i="12"/>
  <c r="J15" i="12"/>
  <c r="K14" i="12"/>
  <c r="J14" i="12"/>
  <c r="K13" i="12"/>
  <c r="J13" i="12"/>
  <c r="K12" i="12"/>
  <c r="J12" i="12"/>
  <c r="K11" i="12"/>
  <c r="J11" i="12"/>
  <c r="K10" i="12"/>
  <c r="J10" i="12"/>
  <c r="K9" i="12"/>
  <c r="J9" i="12"/>
  <c r="K8" i="12"/>
  <c r="J8" i="12"/>
  <c r="K7" i="12"/>
  <c r="J7" i="12"/>
  <c r="J12" i="13" l="1"/>
  <c r="S10" i="13"/>
  <c r="V12" i="13"/>
  <c r="T10" i="13"/>
  <c r="T12" i="13" s="1"/>
  <c r="H12" i="13"/>
  <c r="S12" i="13"/>
  <c r="R19" i="18"/>
  <c r="U10" i="13"/>
  <c r="U12" i="13" s="1"/>
  <c r="P33" i="16"/>
  <c r="C9" i="13" s="1"/>
  <c r="P35" i="16"/>
  <c r="C11" i="13" s="1"/>
  <c r="P32" i="16"/>
  <c r="C8" i="13" s="1"/>
  <c r="P34" i="16"/>
  <c r="C10" i="13" s="1"/>
  <c r="R34" i="16"/>
  <c r="E10" i="13" s="1"/>
  <c r="R32" i="16"/>
  <c r="E8" i="13" s="1"/>
  <c r="R35" i="16"/>
  <c r="E11" i="13" s="1"/>
  <c r="R33" i="16"/>
  <c r="E9" i="13" s="1"/>
  <c r="R31" i="16"/>
  <c r="E7" i="13" s="1"/>
  <c r="Z40" i="10"/>
  <c r="AB40" i="10"/>
  <c r="N12" i="13"/>
  <c r="M12" i="13"/>
  <c r="L7" i="13"/>
  <c r="L12" i="13" s="1"/>
  <c r="AA27" i="11"/>
  <c r="Q35" i="16"/>
  <c r="D11" i="13" s="1"/>
  <c r="Q34" i="16"/>
  <c r="D10" i="13" s="1"/>
  <c r="Q32" i="16"/>
  <c r="D8" i="13" s="1"/>
  <c r="Q31" i="16"/>
  <c r="D7" i="13" s="1"/>
  <c r="Q33" i="16"/>
  <c r="D9" i="13" s="1"/>
  <c r="I12" i="13"/>
  <c r="AA40" i="10"/>
  <c r="S35" i="16"/>
  <c r="F11" i="13" s="1"/>
  <c r="S33" i="16"/>
  <c r="F9" i="13" s="1"/>
  <c r="S31" i="16"/>
  <c r="F7" i="13" s="1"/>
  <c r="S34" i="16"/>
  <c r="F10" i="13" s="1"/>
  <c r="S32" i="16"/>
  <c r="F8" i="13" s="1"/>
  <c r="N32" i="16"/>
  <c r="O33" i="16"/>
  <c r="P24" i="11" s="1"/>
  <c r="O35" i="16"/>
  <c r="P26" i="11" s="1"/>
  <c r="L23" i="11"/>
  <c r="G29" i="12" s="1"/>
  <c r="N33" i="16"/>
  <c r="O24" i="11" s="1"/>
  <c r="O31" i="16"/>
  <c r="P35" i="10" s="1"/>
  <c r="T40" i="10" s="1"/>
  <c r="O32" i="16"/>
  <c r="P36" i="10" s="1"/>
  <c r="L35" i="10"/>
  <c r="P25" i="11"/>
  <c r="P38" i="10"/>
  <c r="L34" i="16"/>
  <c r="M31" i="16"/>
  <c r="L33" i="16"/>
  <c r="L31" i="16"/>
  <c r="N37" i="10"/>
  <c r="N24" i="11"/>
  <c r="B10" i="13"/>
  <c r="L25" i="11"/>
  <c r="G31" i="12" s="1"/>
  <c r="M32" i="16"/>
  <c r="M35" i="16"/>
  <c r="L32" i="16"/>
  <c r="M34" i="16"/>
  <c r="B11" i="13"/>
  <c r="L26" i="11"/>
  <c r="G32" i="12" s="1"/>
  <c r="O26" i="11"/>
  <c r="L35" i="16"/>
  <c r="O36" i="10"/>
  <c r="O23" i="11"/>
  <c r="N34" i="16"/>
  <c r="N31" i="16"/>
  <c r="L22" i="11"/>
  <c r="G28" i="12" s="1"/>
  <c r="L24" i="11"/>
  <c r="G30" i="12" s="1"/>
  <c r="M17" i="12"/>
  <c r="L17" i="12"/>
  <c r="M15" i="12"/>
  <c r="L13" i="12"/>
  <c r="L15" i="12"/>
  <c r="M13" i="12"/>
  <c r="M14" i="12"/>
  <c r="L14" i="12"/>
  <c r="L12" i="12"/>
  <c r="M12" i="12"/>
  <c r="M9" i="12"/>
  <c r="L9" i="12"/>
  <c r="L8" i="12"/>
  <c r="M10" i="12"/>
  <c r="M11" i="12"/>
  <c r="M8" i="12"/>
  <c r="L10" i="12"/>
  <c r="L11" i="12"/>
  <c r="L7" i="12"/>
  <c r="M7" i="12"/>
  <c r="P18" i="10"/>
  <c r="BC25" i="16"/>
  <c r="V9" i="16"/>
  <c r="T9" i="16"/>
  <c r="Q9" i="16"/>
  <c r="U9" i="16" s="1"/>
  <c r="U7" i="16" s="1"/>
  <c r="J25" i="16"/>
  <c r="I25" i="16"/>
  <c r="H25" i="16"/>
  <c r="G25" i="16"/>
  <c r="F25" i="16"/>
  <c r="E25" i="16"/>
  <c r="D25" i="16"/>
  <c r="O8" i="18"/>
  <c r="M8" i="18"/>
  <c r="W25" i="16"/>
  <c r="AJ25" i="16"/>
  <c r="A35" i="16"/>
  <c r="A34" i="16"/>
  <c r="A33" i="16"/>
  <c r="A32" i="16"/>
  <c r="F33" i="12"/>
  <c r="E12" i="13" l="1"/>
  <c r="D12" i="13"/>
  <c r="F12" i="13"/>
  <c r="J29" i="12"/>
  <c r="K32" i="12"/>
  <c r="K30" i="12"/>
  <c r="I30" i="12"/>
  <c r="J32" i="12"/>
  <c r="K31" i="12"/>
  <c r="J30" i="12"/>
  <c r="P39" i="10"/>
  <c r="P37" i="10"/>
  <c r="P23" i="11"/>
  <c r="P22" i="11"/>
  <c r="O37" i="10"/>
  <c r="O36" i="16"/>
  <c r="O35" i="10"/>
  <c r="S40" i="10" s="1"/>
  <c r="O22" i="11"/>
  <c r="N23" i="11"/>
  <c r="N36" i="10"/>
  <c r="M22" i="11"/>
  <c r="M35" i="10"/>
  <c r="Q40" i="10" s="1"/>
  <c r="O25" i="11"/>
  <c r="O38" i="10"/>
  <c r="L36" i="16"/>
  <c r="M39" i="10"/>
  <c r="M26" i="11"/>
  <c r="N25" i="11"/>
  <c r="N38" i="10"/>
  <c r="M24" i="11"/>
  <c r="M37" i="10"/>
  <c r="M36" i="16"/>
  <c r="M23" i="11"/>
  <c r="M36" i="10"/>
  <c r="N22" i="11"/>
  <c r="N35" i="10"/>
  <c r="R40" i="10" s="1"/>
  <c r="N36" i="16"/>
  <c r="N26" i="11"/>
  <c r="N39" i="10"/>
  <c r="M38" i="10"/>
  <c r="M25" i="11"/>
  <c r="V18" i="10"/>
  <c r="V7" i="16"/>
  <c r="T7" i="16"/>
  <c r="S9" i="16"/>
  <c r="S7" i="16" s="1"/>
  <c r="F30" i="12"/>
  <c r="H15" i="18"/>
  <c r="J15" i="18"/>
  <c r="F31" i="12"/>
  <c r="J16" i="18"/>
  <c r="F32" i="12"/>
  <c r="J17" i="18"/>
  <c r="L27" i="11"/>
  <c r="G33" i="12" s="1"/>
  <c r="F29" i="12"/>
  <c r="X7" i="10"/>
  <c r="BB23" i="16"/>
  <c r="BA23" i="16"/>
  <c r="AZ23" i="16"/>
  <c r="AY23" i="16"/>
  <c r="BB22" i="16"/>
  <c r="BA22" i="16"/>
  <c r="AZ22" i="16"/>
  <c r="AY22" i="16"/>
  <c r="BB21" i="16"/>
  <c r="BA21" i="16"/>
  <c r="AZ21" i="16"/>
  <c r="AY21" i="16"/>
  <c r="BB20" i="16"/>
  <c r="BA20" i="16"/>
  <c r="AZ20" i="16"/>
  <c r="AY20" i="16"/>
  <c r="BB19" i="16"/>
  <c r="BA19" i="16"/>
  <c r="AZ19" i="16"/>
  <c r="AY19" i="16"/>
  <c r="BB18" i="16"/>
  <c r="BA18" i="16"/>
  <c r="AZ18" i="16"/>
  <c r="AY18" i="16"/>
  <c r="BB17" i="16"/>
  <c r="BA17" i="16"/>
  <c r="AZ17" i="16"/>
  <c r="AY17" i="16"/>
  <c r="BB16" i="16"/>
  <c r="BA16" i="16"/>
  <c r="AZ16" i="16"/>
  <c r="AY16" i="16"/>
  <c r="BB15" i="16"/>
  <c r="BA15" i="16"/>
  <c r="AZ15" i="16"/>
  <c r="AY15" i="16"/>
  <c r="BB14" i="16"/>
  <c r="BA14" i="16"/>
  <c r="AZ14" i="16"/>
  <c r="AY14" i="16"/>
  <c r="BB13" i="16"/>
  <c r="BA13" i="16"/>
  <c r="AZ13" i="16"/>
  <c r="AY13" i="16"/>
  <c r="AZ12" i="16"/>
  <c r="BA12" i="16"/>
  <c r="BB12" i="16"/>
  <c r="AY12" i="16"/>
  <c r="G79" i="8"/>
  <c r="E79" i="8"/>
  <c r="H79" i="8" s="1"/>
  <c r="I79" i="8" s="1"/>
  <c r="J79" i="8" s="1"/>
  <c r="G78" i="8"/>
  <c r="E78" i="8"/>
  <c r="F60" i="8"/>
  <c r="E60" i="8"/>
  <c r="F59" i="8"/>
  <c r="E59" i="8"/>
  <c r="H59" i="8" s="1"/>
  <c r="F58" i="8"/>
  <c r="E58" i="8"/>
  <c r="F57" i="8"/>
  <c r="E57" i="8"/>
  <c r="H57" i="8" s="1"/>
  <c r="I57" i="8" s="1"/>
  <c r="J57" i="8" s="1"/>
  <c r="J66" i="8" s="1"/>
  <c r="H56" i="8"/>
  <c r="F56" i="8"/>
  <c r="E56" i="8"/>
  <c r="F55" i="8"/>
  <c r="E55" i="8"/>
  <c r="H54" i="8"/>
  <c r="F54" i="8"/>
  <c r="E54" i="8"/>
  <c r="H53" i="8"/>
  <c r="I53" i="8" s="1"/>
  <c r="J53" i="8" s="1"/>
  <c r="F53" i="8"/>
  <c r="E53" i="8"/>
  <c r="F52" i="8"/>
  <c r="E52" i="8"/>
  <c r="F51" i="8"/>
  <c r="E51" i="8"/>
  <c r="H51" i="8" s="1"/>
  <c r="F50" i="8"/>
  <c r="E50" i="8"/>
  <c r="F49" i="8"/>
  <c r="E49" i="8"/>
  <c r="F48" i="8"/>
  <c r="E48" i="8"/>
  <c r="H48" i="8" s="1"/>
  <c r="I48" i="8" s="1"/>
  <c r="J48" i="8" s="1"/>
  <c r="F47" i="8"/>
  <c r="E47" i="8"/>
  <c r="F46" i="8"/>
  <c r="E46" i="8"/>
  <c r="F45" i="8"/>
  <c r="E45" i="8"/>
  <c r="H44" i="8"/>
  <c r="F44" i="8"/>
  <c r="E44" i="8"/>
  <c r="F43" i="8"/>
  <c r="E43" i="8"/>
  <c r="H43" i="8" s="1"/>
  <c r="I43" i="8" s="1"/>
  <c r="J43" i="8" s="1"/>
  <c r="F42" i="8"/>
  <c r="E42" i="8"/>
  <c r="H42" i="8" s="1"/>
  <c r="I42" i="8" s="1"/>
  <c r="J42" i="8" s="1"/>
  <c r="G25" i="8"/>
  <c r="E25" i="8"/>
  <c r="G24" i="8"/>
  <c r="E24" i="8"/>
  <c r="H24" i="8" s="1"/>
  <c r="I24" i="8" s="1"/>
  <c r="J24" i="8" s="1"/>
  <c r="G23" i="8"/>
  <c r="E23" i="8"/>
  <c r="G22" i="8"/>
  <c r="E22" i="8"/>
  <c r="G21" i="8"/>
  <c r="E21" i="8"/>
  <c r="H21" i="8" s="1"/>
  <c r="E19" i="8"/>
  <c r="E18" i="8"/>
  <c r="H18" i="8" s="1"/>
  <c r="I18" i="8" s="1"/>
  <c r="J18" i="8" s="1"/>
  <c r="H17" i="8"/>
  <c r="E17" i="8"/>
  <c r="I17" i="8" s="1"/>
  <c r="J17" i="8" s="1"/>
  <c r="E16" i="8"/>
  <c r="H16" i="8" s="1"/>
  <c r="I16" i="8" s="1"/>
  <c r="J16" i="8" s="1"/>
  <c r="E15" i="8"/>
  <c r="H15" i="8" s="1"/>
  <c r="I15" i="8" s="1"/>
  <c r="J15" i="8" s="1"/>
  <c r="E14" i="8"/>
  <c r="H14" i="8" s="1"/>
  <c r="I14" i="8" s="1"/>
  <c r="J14" i="8" s="1"/>
  <c r="E13" i="8"/>
  <c r="H13" i="8" s="1"/>
  <c r="I13" i="8" s="1"/>
  <c r="J13" i="8" s="1"/>
  <c r="E12" i="8"/>
  <c r="H12" i="8" s="1"/>
  <c r="I12" i="8" s="1"/>
  <c r="J12" i="8" s="1"/>
  <c r="J36" i="8" s="1"/>
  <c r="E11" i="8"/>
  <c r="H11" i="8" s="1"/>
  <c r="I11" i="8" s="1"/>
  <c r="J11" i="8" s="1"/>
  <c r="G10" i="8"/>
  <c r="E10" i="8"/>
  <c r="H10" i="8" s="1"/>
  <c r="G9" i="8"/>
  <c r="E9" i="8"/>
  <c r="E8" i="8"/>
  <c r="E7" i="8"/>
  <c r="E6" i="8"/>
  <c r="P40" i="10" l="1"/>
  <c r="I31" i="12"/>
  <c r="H16" i="18" s="1"/>
  <c r="H32" i="12"/>
  <c r="J31" i="12"/>
  <c r="I29" i="12"/>
  <c r="H31" i="12"/>
  <c r="I32" i="12"/>
  <c r="H17" i="18" s="1"/>
  <c r="H30" i="12"/>
  <c r="P27" i="11"/>
  <c r="H29" i="12"/>
  <c r="K29" i="12"/>
  <c r="K28" i="12"/>
  <c r="M40" i="10"/>
  <c r="H28" i="12"/>
  <c r="H33" i="12" s="1"/>
  <c r="M27" i="11"/>
  <c r="O27" i="11"/>
  <c r="J28" i="12"/>
  <c r="J33" i="12" s="1"/>
  <c r="N40" i="10"/>
  <c r="O40" i="10"/>
  <c r="I28" i="12"/>
  <c r="I33" i="12" s="1"/>
  <c r="N27" i="11"/>
  <c r="AY25" i="16"/>
  <c r="Q17" i="10" s="1"/>
  <c r="BB25" i="16"/>
  <c r="T25" i="10" s="1"/>
  <c r="BA25" i="16"/>
  <c r="S24" i="10" s="1"/>
  <c r="AA24" i="10" s="1"/>
  <c r="AZ25" i="16"/>
  <c r="R25" i="10" s="1"/>
  <c r="I10" i="8"/>
  <c r="J10" i="8" s="1"/>
  <c r="I59" i="8"/>
  <c r="J59" i="8" s="1"/>
  <c r="I21" i="8"/>
  <c r="J21" i="8" s="1"/>
  <c r="I44" i="8"/>
  <c r="J44" i="8" s="1"/>
  <c r="I56" i="8"/>
  <c r="J56" i="8" s="1"/>
  <c r="I19" i="8"/>
  <c r="J19" i="8" s="1"/>
  <c r="I54" i="8"/>
  <c r="J54" i="8" s="1"/>
  <c r="I78" i="8"/>
  <c r="J78" i="8" s="1"/>
  <c r="H19" i="8"/>
  <c r="I51" i="8"/>
  <c r="J51" i="8" s="1"/>
  <c r="H78" i="8"/>
  <c r="J34" i="8"/>
  <c r="J29" i="8"/>
  <c r="I23" i="8"/>
  <c r="J23" i="8" s="1"/>
  <c r="I50" i="8"/>
  <c r="J50" i="8" s="1"/>
  <c r="J75" i="8" s="1"/>
  <c r="J70" i="8"/>
  <c r="J68" i="8"/>
  <c r="J73" i="8"/>
  <c r="J74" i="8" s="1"/>
  <c r="J65" i="8"/>
  <c r="J63" i="8"/>
  <c r="J72" i="8"/>
  <c r="H7" i="8"/>
  <c r="I7" i="8" s="1"/>
  <c r="J7" i="8" s="1"/>
  <c r="J27" i="8" s="1"/>
  <c r="H9" i="8"/>
  <c r="I9" i="8" s="1"/>
  <c r="J9" i="8" s="1"/>
  <c r="H23" i="8"/>
  <c r="H50" i="8"/>
  <c r="H58" i="8"/>
  <c r="I58" i="8" s="1"/>
  <c r="J58" i="8" s="1"/>
  <c r="H47" i="8"/>
  <c r="I47" i="8" s="1"/>
  <c r="J47" i="8" s="1"/>
  <c r="H55" i="8"/>
  <c r="I55" i="8" s="1"/>
  <c r="J55" i="8" s="1"/>
  <c r="H25" i="8"/>
  <c r="I25" i="8" s="1"/>
  <c r="J25" i="8" s="1"/>
  <c r="H52" i="8"/>
  <c r="I52" i="8" s="1"/>
  <c r="J52" i="8" s="1"/>
  <c r="H60" i="8"/>
  <c r="I60" i="8" s="1"/>
  <c r="J60" i="8" s="1"/>
  <c r="H6" i="8"/>
  <c r="I6" i="8" s="1"/>
  <c r="J6" i="8" s="1"/>
  <c r="H8" i="8"/>
  <c r="I8" i="8" s="1"/>
  <c r="J8" i="8" s="1"/>
  <c r="J32" i="8" s="1"/>
  <c r="H22" i="8"/>
  <c r="I22" i="8" s="1"/>
  <c r="J22" i="8" s="1"/>
  <c r="J31" i="8" s="1"/>
  <c r="H49" i="8"/>
  <c r="I49" i="8" s="1"/>
  <c r="J49" i="8" s="1"/>
  <c r="H45" i="8"/>
  <c r="I45" i="8" s="1"/>
  <c r="J45" i="8" s="1"/>
  <c r="H46" i="8"/>
  <c r="I46" i="8" s="1"/>
  <c r="J46" i="8" s="1"/>
  <c r="K33" i="12" l="1"/>
  <c r="X25" i="10"/>
  <c r="Q7" i="10"/>
  <c r="U11" i="11"/>
  <c r="U13" i="11" s="1"/>
  <c r="R16" i="10"/>
  <c r="Q8" i="10"/>
  <c r="Q9" i="10"/>
  <c r="Q18" i="10"/>
  <c r="Q25" i="10"/>
  <c r="S9" i="10"/>
  <c r="S8" i="10"/>
  <c r="S18" i="10"/>
  <c r="S7" i="10"/>
  <c r="S25" i="10"/>
  <c r="Q26" i="10"/>
  <c r="Z26" i="10" s="1"/>
  <c r="R15" i="10"/>
  <c r="S11" i="11"/>
  <c r="S13" i="11" s="1"/>
  <c r="R14" i="10"/>
  <c r="R11" i="10"/>
  <c r="R12" i="10"/>
  <c r="R19" i="10"/>
  <c r="T12" i="10"/>
  <c r="S10" i="10"/>
  <c r="R23" i="10"/>
  <c r="R8" i="11"/>
  <c r="AA8" i="11" s="1"/>
  <c r="Q22" i="10"/>
  <c r="Q23" i="10" s="1"/>
  <c r="Q10" i="10"/>
  <c r="R9" i="11"/>
  <c r="AA9" i="11" s="1"/>
  <c r="Q24" i="10"/>
  <c r="Z24" i="10" s="1"/>
  <c r="T8" i="11"/>
  <c r="AB8" i="11" s="1"/>
  <c r="T9" i="11"/>
  <c r="AB9" i="11" s="1"/>
  <c r="R13" i="10"/>
  <c r="T16" i="10"/>
  <c r="T13" i="10"/>
  <c r="T22" i="10"/>
  <c r="T14" i="10"/>
  <c r="S22" i="10"/>
  <c r="T11" i="10"/>
  <c r="S26" i="10"/>
  <c r="AA26" i="10" s="1"/>
  <c r="T21" i="10"/>
  <c r="T15" i="10"/>
  <c r="T19" i="10"/>
  <c r="T23" i="10"/>
  <c r="S23" i="10"/>
  <c r="T20" i="10"/>
  <c r="H14" i="18"/>
  <c r="J14" i="18"/>
  <c r="J67" i="8"/>
  <c r="Q23" i="16"/>
  <c r="Q18" i="16"/>
  <c r="Q13" i="16"/>
  <c r="Q17" i="16"/>
  <c r="Q12" i="16"/>
  <c r="Q22" i="16"/>
  <c r="Q21" i="16"/>
  <c r="Q15" i="16"/>
  <c r="Q20" i="16"/>
  <c r="Q14" i="16"/>
  <c r="J37" i="8"/>
  <c r="J35" i="8"/>
  <c r="J33" i="8"/>
  <c r="J28" i="8"/>
  <c r="J39" i="8"/>
  <c r="J40" i="8" s="1"/>
  <c r="J38" i="8"/>
  <c r="J30" i="8"/>
  <c r="J71" i="8"/>
  <c r="J69" i="8"/>
  <c r="J64" i="8"/>
  <c r="K45" i="8"/>
  <c r="L45" i="8" s="1"/>
  <c r="M45" i="8" s="1"/>
  <c r="J62" i="8"/>
  <c r="J76" i="8"/>
  <c r="AA17" i="11" l="1"/>
  <c r="X19" i="10"/>
  <c r="X16" i="10"/>
  <c r="X15" i="10"/>
  <c r="X12" i="10"/>
  <c r="Z18" i="10"/>
  <c r="H7" i="18" s="1"/>
  <c r="L7" i="18" s="1"/>
  <c r="L8" i="18" s="1"/>
  <c r="G17" i="18" s="1"/>
  <c r="U18" i="10"/>
  <c r="R20" i="10"/>
  <c r="X20" i="10" s="1"/>
  <c r="X11" i="10"/>
  <c r="X13" i="10"/>
  <c r="X23" i="10"/>
  <c r="AA18" i="10"/>
  <c r="J7" i="18" s="1"/>
  <c r="N7" i="18" s="1"/>
  <c r="N8" i="18" s="1"/>
  <c r="I16" i="18" s="1"/>
  <c r="W18" i="10"/>
  <c r="X14" i="10"/>
  <c r="AB17" i="11"/>
  <c r="S22" i="16"/>
  <c r="U22" i="16"/>
  <c r="U21" i="16"/>
  <c r="S21" i="16"/>
  <c r="S12" i="16"/>
  <c r="U12" i="16"/>
  <c r="S17" i="16"/>
  <c r="U17" i="16"/>
  <c r="U13" i="16"/>
  <c r="S13" i="16"/>
  <c r="U14" i="16"/>
  <c r="S14" i="16"/>
  <c r="S18" i="16"/>
  <c r="U18" i="16"/>
  <c r="U20" i="16"/>
  <c r="S20" i="16"/>
  <c r="U15" i="16"/>
  <c r="S15" i="16"/>
  <c r="R23" i="16"/>
  <c r="R18" i="16"/>
  <c r="R13" i="16"/>
  <c r="R22" i="16"/>
  <c r="R17" i="16"/>
  <c r="R12" i="16"/>
  <c r="R21" i="16"/>
  <c r="R15" i="16"/>
  <c r="R20" i="16"/>
  <c r="R14" i="16"/>
  <c r="R21" i="10" l="1"/>
  <c r="X21" i="10" s="1"/>
  <c r="G14" i="18"/>
  <c r="G15" i="18"/>
  <c r="G16" i="18"/>
  <c r="I15" i="18"/>
  <c r="I14" i="18"/>
  <c r="I17" i="18"/>
  <c r="V12" i="16"/>
  <c r="T12" i="16"/>
  <c r="V22" i="16"/>
  <c r="T22" i="16"/>
  <c r="V17" i="16"/>
  <c r="T17" i="16"/>
  <c r="V20" i="16"/>
  <c r="T20" i="16"/>
  <c r="V13" i="16"/>
  <c r="T13" i="16"/>
  <c r="V14" i="16"/>
  <c r="T14" i="16"/>
  <c r="T15" i="16"/>
  <c r="V15" i="16"/>
  <c r="T18" i="16"/>
  <c r="V18" i="16"/>
  <c r="T21" i="16"/>
  <c r="V21" i="16"/>
  <c r="R22" i="10"/>
  <c r="X22" i="10" s="1"/>
  <c r="U23" i="16"/>
  <c r="S23" i="16"/>
  <c r="L20" i="12"/>
  <c r="L19" i="12"/>
  <c r="M18" i="12"/>
  <c r="L16" i="12"/>
  <c r="V19" i="16" l="1"/>
  <c r="T19" i="16"/>
  <c r="T16" i="16"/>
  <c r="V16" i="16"/>
  <c r="C10" i="17"/>
  <c r="D10" i="17"/>
  <c r="L18" i="12"/>
  <c r="L21" i="12" s="1"/>
  <c r="M20" i="12"/>
  <c r="M16" i="12"/>
  <c r="M19" i="12"/>
  <c r="Q13" i="11"/>
  <c r="Y13" i="11" s="1"/>
  <c r="Q10" i="11"/>
  <c r="X10" i="11" s="1"/>
  <c r="Q7" i="11"/>
  <c r="X7" i="11" s="1"/>
  <c r="Q11" i="11"/>
  <c r="W11" i="11" s="1"/>
  <c r="Q12" i="11"/>
  <c r="X12" i="11" s="1"/>
  <c r="Q8" i="11"/>
  <c r="X8" i="11" s="1"/>
  <c r="Q9" i="11"/>
  <c r="X9" i="11" s="1"/>
  <c r="M21" i="12" l="1"/>
  <c r="O28" i="12" s="1"/>
  <c r="R7" i="13" s="1"/>
  <c r="N28" i="12"/>
  <c r="Q7" i="13" s="1"/>
  <c r="L28" i="12"/>
  <c r="O7" i="13" s="1"/>
  <c r="V8" i="11"/>
  <c r="V11" i="11"/>
  <c r="V10" i="11"/>
  <c r="W13" i="11"/>
  <c r="W16" i="11" s="1"/>
  <c r="X11" i="11"/>
  <c r="Y11" i="11"/>
  <c r="Y16" i="11" s="1"/>
  <c r="V9" i="11"/>
  <c r="V12" i="11"/>
  <c r="V7" i="11"/>
  <c r="P26" i="10"/>
  <c r="P25" i="10"/>
  <c r="P24" i="10"/>
  <c r="P23" i="10"/>
  <c r="P22" i="10"/>
  <c r="P21" i="10"/>
  <c r="P20" i="10"/>
  <c r="P19" i="10"/>
  <c r="P17" i="10"/>
  <c r="P16" i="10"/>
  <c r="P15" i="10"/>
  <c r="P14" i="10"/>
  <c r="P13" i="10"/>
  <c r="P12" i="10"/>
  <c r="P11" i="10"/>
  <c r="P10" i="10"/>
  <c r="P9" i="10"/>
  <c r="P8" i="10"/>
  <c r="P7" i="10"/>
  <c r="Y7" i="13" l="1"/>
  <c r="X7" i="13"/>
  <c r="Z7" i="13"/>
  <c r="M28" i="12"/>
  <c r="W11" i="10"/>
  <c r="U11" i="10"/>
  <c r="V11" i="10"/>
  <c r="V8" i="10"/>
  <c r="W8" i="10"/>
  <c r="U8" i="10"/>
  <c r="W12" i="10"/>
  <c r="U12" i="10"/>
  <c r="V12" i="10"/>
  <c r="V9" i="10"/>
  <c r="W9" i="10"/>
  <c r="U9" i="10"/>
  <c r="W13" i="10"/>
  <c r="U13" i="10"/>
  <c r="V13" i="10"/>
  <c r="V10" i="10"/>
  <c r="W10" i="10"/>
  <c r="U10" i="10"/>
  <c r="W14" i="10"/>
  <c r="U14" i="10"/>
  <c r="V14" i="10"/>
  <c r="W15" i="10"/>
  <c r="V15" i="10"/>
  <c r="U15" i="10"/>
  <c r="W17" i="10"/>
  <c r="V17" i="10"/>
  <c r="U17" i="10"/>
  <c r="V26" i="10"/>
  <c r="U26" i="10"/>
  <c r="W26" i="10"/>
  <c r="W19" i="10"/>
  <c r="V19" i="10"/>
  <c r="U19" i="10"/>
  <c r="W16" i="10"/>
  <c r="V16" i="10"/>
  <c r="U16" i="10"/>
  <c r="U22" i="10"/>
  <c r="W22" i="10"/>
  <c r="V22" i="10"/>
  <c r="W21" i="10"/>
  <c r="V21" i="10"/>
  <c r="U21" i="10"/>
  <c r="U20" i="10"/>
  <c r="W20" i="10"/>
  <c r="V20" i="10"/>
  <c r="W25" i="10"/>
  <c r="V25" i="10"/>
  <c r="U25" i="10"/>
  <c r="V24" i="10"/>
  <c r="W24" i="10"/>
  <c r="U24" i="10"/>
  <c r="U23" i="10"/>
  <c r="V23" i="10"/>
  <c r="W23" i="10"/>
  <c r="V16" i="11"/>
  <c r="W7" i="10"/>
  <c r="V7" i="10"/>
  <c r="U7" i="10"/>
  <c r="X29" i="10"/>
  <c r="AB7" i="13" l="1"/>
  <c r="P7" i="13"/>
  <c r="W29" i="10"/>
  <c r="U29" i="10"/>
  <c r="V29" i="10"/>
  <c r="AD7" i="13" l="1"/>
  <c r="U11" i="16"/>
  <c r="S11" i="16"/>
  <c r="D6" i="17"/>
  <c r="V11" i="16"/>
  <c r="V25" i="16" s="1"/>
  <c r="S16" i="16"/>
  <c r="C8" i="17" s="1"/>
  <c r="S19" i="16"/>
  <c r="T11" i="16"/>
  <c r="T25" i="16" s="1"/>
  <c r="U16" i="16"/>
  <c r="D8" i="17" s="1"/>
  <c r="U19" i="16"/>
  <c r="C6" i="17"/>
  <c r="AF7" i="13" l="1"/>
  <c r="S25" i="16"/>
  <c r="U25" i="16"/>
  <c r="D9" i="17"/>
  <c r="C9" i="17"/>
  <c r="D7" i="17"/>
  <c r="D11" i="17" s="1"/>
  <c r="C7" i="17"/>
  <c r="C11" i="17" s="1"/>
  <c r="AH7" i="13" l="1"/>
  <c r="S36" i="16"/>
  <c r="Q36" i="16"/>
  <c r="P36" i="16" l="1"/>
  <c r="R36" i="16"/>
  <c r="M30" i="12"/>
  <c r="P9" i="13" s="1"/>
  <c r="W7" i="13" l="1"/>
  <c r="AA7" i="13" s="1"/>
  <c r="C12" i="13"/>
  <c r="E8" i="17"/>
  <c r="M32" i="12"/>
  <c r="P11" i="13" s="1"/>
  <c r="O31" i="12"/>
  <c r="R10" i="13" s="1"/>
  <c r="L31" i="12"/>
  <c r="O10" i="13" s="1"/>
  <c r="M31" i="12"/>
  <c r="P10" i="13" s="1"/>
  <c r="O32" i="12"/>
  <c r="R11" i="13" s="1"/>
  <c r="O30" i="12"/>
  <c r="R9" i="13" s="1"/>
  <c r="W10" i="13" l="1"/>
  <c r="X10" i="13"/>
  <c r="Z10" i="13"/>
  <c r="Y10" i="13"/>
  <c r="AC7" i="13"/>
  <c r="AE7" i="13" s="1"/>
  <c r="T27" i="11"/>
  <c r="R27" i="11"/>
  <c r="G8" i="17"/>
  <c r="I8" i="17"/>
  <c r="F10" i="17"/>
  <c r="F8" i="17"/>
  <c r="F7" i="17"/>
  <c r="F9" i="17"/>
  <c r="E6" i="17"/>
  <c r="E10" i="17"/>
  <c r="E9" i="17"/>
  <c r="M8" i="17"/>
  <c r="E7" i="17"/>
  <c r="N31" i="12"/>
  <c r="N32" i="12"/>
  <c r="M29" i="12"/>
  <c r="L32" i="12"/>
  <c r="L30" i="12"/>
  <c r="N30" i="12"/>
  <c r="O29" i="12"/>
  <c r="L29" i="12"/>
  <c r="O8" i="13" s="1"/>
  <c r="AB10" i="13" l="1"/>
  <c r="AD10" i="13" s="1"/>
  <c r="AF10" i="13" s="1"/>
  <c r="AH10" i="13" s="1"/>
  <c r="V33" i="12"/>
  <c r="P8" i="13"/>
  <c r="P12" i="13" s="1"/>
  <c r="AG7" i="13"/>
  <c r="W8" i="13"/>
  <c r="X8" i="13"/>
  <c r="Z8" i="13"/>
  <c r="Y8" i="13"/>
  <c r="AA10" i="13"/>
  <c r="AC10" i="13" s="1"/>
  <c r="AE10" i="13" s="1"/>
  <c r="AG10" i="13" s="1"/>
  <c r="Q11" i="13"/>
  <c r="Q10" i="13"/>
  <c r="O33" i="12"/>
  <c r="Q9" i="13"/>
  <c r="O11" i="13"/>
  <c r="M33" i="12"/>
  <c r="L33" i="12"/>
  <c r="I10" i="17" s="1"/>
  <c r="Q27" i="11"/>
  <c r="G6" i="17"/>
  <c r="K8" i="17"/>
  <c r="Q8" i="17" s="1"/>
  <c r="O8" i="17" s="1"/>
  <c r="M7" i="17"/>
  <c r="M9" i="17"/>
  <c r="I6" i="17"/>
  <c r="J8" i="17"/>
  <c r="J7" i="17"/>
  <c r="J9" i="17"/>
  <c r="F6" i="17"/>
  <c r="I7" i="17"/>
  <c r="G9" i="17"/>
  <c r="G7" i="17"/>
  <c r="I9" i="17"/>
  <c r="E11" i="17"/>
  <c r="M6" i="17"/>
  <c r="N29" i="12"/>
  <c r="AB8" i="13" l="1"/>
  <c r="U33" i="12"/>
  <c r="O9" i="13"/>
  <c r="AA8" i="13"/>
  <c r="X33" i="12"/>
  <c r="R8" i="13"/>
  <c r="R12" i="13" s="1"/>
  <c r="W11" i="13"/>
  <c r="X11" i="13"/>
  <c r="Z11" i="13"/>
  <c r="Y11" i="13"/>
  <c r="N33" i="12"/>
  <c r="M10" i="17"/>
  <c r="G10" i="17"/>
  <c r="G11" i="17" s="1"/>
  <c r="K6" i="17"/>
  <c r="Q6" i="17" s="1"/>
  <c r="J10" i="17"/>
  <c r="M11" i="17"/>
  <c r="K7" i="17"/>
  <c r="Q7" i="17" s="1"/>
  <c r="O7" i="17" s="1"/>
  <c r="K9" i="17"/>
  <c r="Q9" i="17" s="1"/>
  <c r="O9" i="17" s="1"/>
  <c r="F11" i="17"/>
  <c r="J6" i="17"/>
  <c r="I11" i="17"/>
  <c r="W33" i="12" l="1"/>
  <c r="Q8" i="13"/>
  <c r="Q12" i="13" s="1"/>
  <c r="AC8" i="13"/>
  <c r="W9" i="13"/>
  <c r="Z9" i="13"/>
  <c r="Z12" i="13" s="1"/>
  <c r="Y9" i="13"/>
  <c r="X9" i="13"/>
  <c r="O12" i="13"/>
  <c r="AB11" i="13"/>
  <c r="AD11" i="13" s="1"/>
  <c r="AF11" i="13" s="1"/>
  <c r="AH11" i="13" s="1"/>
  <c r="AA11" i="13"/>
  <c r="AC11" i="13" s="1"/>
  <c r="AE11" i="13" s="1"/>
  <c r="AG11" i="13" s="1"/>
  <c r="AD8" i="13"/>
  <c r="K10" i="17"/>
  <c r="Q10" i="17" s="1"/>
  <c r="O10" i="17" s="1"/>
  <c r="J11" i="17"/>
  <c r="K11" i="17"/>
  <c r="Q11" i="17"/>
  <c r="O11" i="17" s="1"/>
  <c r="O6" i="17"/>
  <c r="AF8" i="13" l="1"/>
  <c r="X12" i="13"/>
  <c r="AB9" i="13"/>
  <c r="AA9" i="13"/>
  <c r="W12" i="13"/>
  <c r="AE8" i="13"/>
  <c r="X16" i="11"/>
  <c r="AC9" i="13" l="1"/>
  <c r="AA12" i="13"/>
  <c r="AD9" i="13"/>
  <c r="AB12" i="13"/>
  <c r="AG8" i="13"/>
  <c r="AH8" i="13"/>
  <c r="S27" i="11"/>
  <c r="H10" i="17" s="1"/>
  <c r="L10" i="17" s="1"/>
  <c r="N9" i="17"/>
  <c r="H9" i="17"/>
  <c r="L9" i="17" s="1"/>
  <c r="N8" i="17"/>
  <c r="H8" i="17"/>
  <c r="L8" i="17" s="1"/>
  <c r="N7" i="17"/>
  <c r="H7" i="17"/>
  <c r="L7" i="17" s="1"/>
  <c r="H6" i="17"/>
  <c r="N6" i="17"/>
  <c r="N11" i="17" s="1"/>
  <c r="AF9" i="13" l="1"/>
  <c r="AD12" i="13"/>
  <c r="AE9" i="13"/>
  <c r="AC12" i="13"/>
  <c r="Y12" i="13"/>
  <c r="N10" i="17"/>
  <c r="R10" i="17" s="1"/>
  <c r="P10" i="17" s="1"/>
  <c r="R7" i="17"/>
  <c r="P7" i="17" s="1"/>
  <c r="R9" i="17"/>
  <c r="P9" i="17" s="1"/>
  <c r="R8" i="17"/>
  <c r="P8" i="17" s="1"/>
  <c r="H11" i="17"/>
  <c r="L6" i="17"/>
  <c r="AG9" i="13" l="1"/>
  <c r="AG12" i="13" s="1"/>
  <c r="AE12" i="13"/>
  <c r="AH9" i="13"/>
  <c r="AH12" i="13" s="1"/>
  <c r="AF12" i="13"/>
  <c r="L11" i="17"/>
  <c r="R6" i="17"/>
  <c r="R11" i="17" l="1"/>
  <c r="P11" i="17" s="1"/>
  <c r="P6" i="17"/>
  <c r="L36" i="10" l="1"/>
  <c r="L37" i="10"/>
  <c r="L38" i="10"/>
  <c r="L39" i="10"/>
</calcChain>
</file>

<file path=xl/sharedStrings.xml><?xml version="1.0" encoding="utf-8"?>
<sst xmlns="http://schemas.openxmlformats.org/spreadsheetml/2006/main" count="1044" uniqueCount="323">
  <si>
    <t>STT</t>
  </si>
  <si>
    <t>Nội dung công việc</t>
  </si>
  <si>
    <t>Định biên</t>
  </si>
  <si>
    <t>Định mức</t>
  </si>
  <si>
    <t>Nội nghiệp</t>
  </si>
  <si>
    <t>Ngoại nghiệp</t>
  </si>
  <si>
    <t>2.1</t>
  </si>
  <si>
    <t>2.2</t>
  </si>
  <si>
    <t>2.3</t>
  </si>
  <si>
    <t>2.4</t>
  </si>
  <si>
    <t>3.1</t>
  </si>
  <si>
    <t>3.2</t>
  </si>
  <si>
    <t>Đất phi nông nghiệp không phải là đất ở</t>
  </si>
  <si>
    <t>Đất nông nghiệp</t>
  </si>
  <si>
    <t>Tổng hợp, phân tích các thông tin để xác định giá đất theo các phương pháp định giá đất</t>
  </si>
  <si>
    <t>Áp dụng các phương pháp định giá đất để xác định giá đất</t>
  </si>
  <si>
    <t>Xây dựng phương án giá đất</t>
  </si>
  <si>
    <t>Xây dựng báo cáo thuyết minh xây dựng phương án giá đất</t>
  </si>
  <si>
    <t>Thu thập thông tin về thửa đất cần định giá</t>
  </si>
  <si>
    <t>Thu thập thông tin đầu vào để áp dụng các phương pháp định giá đất</t>
  </si>
  <si>
    <t xml:space="preserve">Kiểm tra, rà soát, phân loại phiếu điều tra, các tài liệu thông tin đầu vào </t>
  </si>
  <si>
    <t>Rà soát kết quả xác định giá đất</t>
  </si>
  <si>
    <t>Dự thảo chứng thư định giá đất</t>
  </si>
  <si>
    <t>Hoàn thiện báo cáo thuyết minh xây dựng  phương án giá đất và chứng thư định giá đất</t>
  </si>
  <si>
    <t>Lương ngày</t>
  </si>
  <si>
    <t>A</t>
  </si>
  <si>
    <t>B</t>
  </si>
  <si>
    <t>Nhóm 2 (1ĐCV.III.4+1ĐCV.III.3)</t>
  </si>
  <si>
    <t>Thành tiền</t>
  </si>
  <si>
    <t>Tổng</t>
  </si>
  <si>
    <t>1. DỤNG CỤ</t>
  </si>
  <si>
    <t>Danh mục dụng cụ</t>
  </si>
  <si>
    <t>ĐVT</t>
  </si>
  <si>
    <t>Đơn giá</t>
  </si>
  <si>
    <t>Ba lô</t>
  </si>
  <si>
    <t>Cái</t>
  </si>
  <si>
    <t>Bàn dập ghim</t>
  </si>
  <si>
    <t>Bàn làm việc</t>
  </si>
  <si>
    <t>Bình đựng nước uống</t>
  </si>
  <si>
    <t>Cặp đựng tài liệu</t>
  </si>
  <si>
    <t>Đèn neon 0,04 kW</t>
  </si>
  <si>
    <t>Bộ</t>
  </si>
  <si>
    <t>Điện năng</t>
  </si>
  <si>
    <t>kW</t>
  </si>
  <si>
    <t>Đồng hồ treo tường</t>
  </si>
  <si>
    <t>Ghế văn phòng</t>
  </si>
  <si>
    <t>Giày bảo hộ</t>
  </si>
  <si>
    <t>Đôi</t>
  </si>
  <si>
    <t>Gọt bút chì</t>
  </si>
  <si>
    <t>Kéo cắt giấy</t>
  </si>
  <si>
    <t>Lưu điện</t>
  </si>
  <si>
    <t>Máy hút ẩm 2 kW</t>
  </si>
  <si>
    <t>Máy hút bụi 1,5 kW</t>
  </si>
  <si>
    <t>Máy tính Casio</t>
  </si>
  <si>
    <t>Mũ cứng</t>
  </si>
  <si>
    <t>Ổ ghi CD 0,4 kW</t>
  </si>
  <si>
    <t>Quần áo bảo hộ lao động</t>
  </si>
  <si>
    <t>Quần áo mưa</t>
  </si>
  <si>
    <t>Quạt thông gió 0,04 kW</t>
  </si>
  <si>
    <t>Quạt trần 0,1 kW</t>
  </si>
  <si>
    <t>Tất</t>
  </si>
  <si>
    <t>Thước nhựa 40 cm</t>
  </si>
  <si>
    <t>Tủ để tài liệu</t>
  </si>
  <si>
    <t>USB (4 GB)</t>
  </si>
  <si>
    <t>2. THIẾT BỊ</t>
  </si>
  <si>
    <t>Danh mục thiết bị</t>
  </si>
  <si>
    <t>Nguyên giá</t>
  </si>
  <si>
    <t>Máy ảnh</t>
  </si>
  <si>
    <t>Máy điều hòa nhiệt độ</t>
  </si>
  <si>
    <t>Máy in A3</t>
  </si>
  <si>
    <t>Máy photo</t>
  </si>
  <si>
    <t>Máy quay phim</t>
  </si>
  <si>
    <t>Máy tính xách tay</t>
  </si>
  <si>
    <t>Máy vi tính</t>
  </si>
  <si>
    <t>3. VẬT LIỆU</t>
  </si>
  <si>
    <t>Danh mục vật liệu</t>
  </si>
  <si>
    <t>Băng dính to</t>
  </si>
  <si>
    <t>Cuộn</t>
  </si>
  <si>
    <t>Bút bi</t>
  </si>
  <si>
    <t>Bút chì</t>
  </si>
  <si>
    <t>Bút dạ màu</t>
  </si>
  <si>
    <t>Bút nhớ dòng</t>
  </si>
  <si>
    <t>Bút xóa</t>
  </si>
  <si>
    <t>Cặp 3 dây</t>
  </si>
  <si>
    <t>Ghim dập</t>
  </si>
  <si>
    <t>Hộp</t>
  </si>
  <si>
    <t>Ghim vòng</t>
  </si>
  <si>
    <t>Giấy A3</t>
  </si>
  <si>
    <t>Gram</t>
  </si>
  <si>
    <t>Giấy A4</t>
  </si>
  <si>
    <t>Hồ dán khô</t>
  </si>
  <si>
    <t>Mực in A3 Laser</t>
  </si>
  <si>
    <t>Mực photocopy</t>
  </si>
  <si>
    <t>Sổ ghi chép</t>
  </si>
  <si>
    <t>Cuốn</t>
  </si>
  <si>
    <t>Tẩy chì</t>
  </si>
  <si>
    <t>Túi ny lông đựng tài liệu</t>
  </si>
  <si>
    <t>Đon vị tính</t>
  </si>
  <si>
    <t>Đơn giá
(Đồng)</t>
  </si>
  <si>
    <t>Đơn giá/ ca</t>
  </si>
  <si>
    <t>Đèn neon 0,04 kw</t>
  </si>
  <si>
    <t>Quạt trần 0,1 kw</t>
  </si>
  <si>
    <t xml:space="preserve">Tổng </t>
  </si>
  <si>
    <t>Cơ cấu (%)</t>
  </si>
  <si>
    <t>Mức khấu hao 1 ca</t>
  </si>
  <si>
    <t>Nộì nghiệp</t>
  </si>
  <si>
    <t>Chi phí lao động</t>
  </si>
  <si>
    <t>Chi phí dụng cụ</t>
  </si>
  <si>
    <t>Chi phí thiết bị</t>
  </si>
  <si>
    <t>Chi phí vật liệu</t>
  </si>
  <si>
    <t>Chi phí trực tiếp</t>
  </si>
  <si>
    <r>
      <t xml:space="preserve">Chi phí chung
</t>
    </r>
    <r>
      <rPr>
        <sz val="10"/>
        <rFont val="Times New Roman"/>
        <family val="1"/>
      </rPr>
      <t>(15%nội nghiệp/20% ngoại nghiệp</t>
    </r>
  </si>
  <si>
    <r>
      <t xml:space="preserve">Thời hạn </t>
    </r>
    <r>
      <rPr>
        <i/>
        <sz val="10"/>
        <rFont val="Times New Roman"/>
        <family val="1"/>
      </rPr>
      <t>(tháng)</t>
    </r>
  </si>
  <si>
    <r>
      <t xml:space="preserve">Công suất </t>
    </r>
    <r>
      <rPr>
        <sz val="10"/>
        <rFont val="Times New Roman"/>
        <family val="1"/>
      </rPr>
      <t xml:space="preserve"> (kw/h)</t>
    </r>
  </si>
  <si>
    <r>
      <t xml:space="preserve">Thời gian SD máy </t>
    </r>
    <r>
      <rPr>
        <sz val="10"/>
        <rFont val="Times New Roman"/>
        <family val="1"/>
      </rPr>
      <t>(năm)</t>
    </r>
  </si>
  <si>
    <r>
      <t xml:space="preserve">Định mức 
</t>
    </r>
    <r>
      <rPr>
        <i/>
        <sz val="10"/>
        <color rgb="FF000000"/>
        <rFont val="Times New Roman"/>
        <family val="1"/>
      </rPr>
      <t>(ca/thửa đất hoặc khu đất trung bình)</t>
    </r>
  </si>
  <si>
    <r>
      <t xml:space="preserve">Thành tiền
</t>
    </r>
    <r>
      <rPr>
        <i/>
        <sz val="10"/>
        <color rgb="FF000000"/>
        <rFont val="Times New Roman"/>
        <family val="1"/>
      </rPr>
      <t>(ca/thửa đất hoặc khu đất trung bình)</t>
    </r>
  </si>
  <si>
    <t xml:space="preserve">Đất phi nông nghiệp </t>
  </si>
  <si>
    <t>Đất phi nông nghiệp</t>
  </si>
  <si>
    <t>Xác định các yếu tố ảnh hưởng đến giá đất của thửa đất/khu đất cần định giá</t>
  </si>
  <si>
    <t xml:space="preserve">Thu thập tổng hợp phân tích thông tin </t>
  </si>
  <si>
    <t>Lựa chọn phương pháp định giá đất</t>
  </si>
  <si>
    <t>Xây dựng báo cáo thuyết minh xây dựng phương án giá đất, dự thảo chứng thư định giá đất</t>
  </si>
  <si>
    <t>4.1</t>
  </si>
  <si>
    <t>4.2</t>
  </si>
  <si>
    <t>4.3</t>
  </si>
  <si>
    <t xml:space="preserve">A. ĐƠN GIÁ  ĐỊNH GIÁ ĐẤT CỤ THỂ </t>
  </si>
  <si>
    <t xml:space="preserve">A2. CHI PHÍ DỤNG CỤ ĐỊNH GIÁ ĐẤT CỤ THỂ </t>
  </si>
  <si>
    <t xml:space="preserve">A4. CHI PHÍ VẬT LIỆU ĐIỀU ĐỊNH GIÁ ĐẤT CỤ THỂ </t>
  </si>
  <si>
    <t xml:space="preserve">A3. CHI PHÍ THIẾT BỊ ĐỊNH GIÁ ĐẤT CỤ THỂ </t>
  </si>
  <si>
    <t xml:space="preserve">A1. CHI PHÍ NHÂN CÔNG ĐỊNH GIÁ ĐẤT CỤ THỂ </t>
  </si>
  <si>
    <t>LÚC BAN ĐẦU</t>
  </si>
  <si>
    <r>
      <t xml:space="preserve">Đơn giá </t>
    </r>
    <r>
      <rPr>
        <i/>
        <sz val="10"/>
        <rFont val="Times New Roman"/>
        <family val="1"/>
      </rPr>
      <t>(đồng)
(có khấu hao)</t>
    </r>
  </si>
  <si>
    <r>
      <t xml:space="preserve">Đơn giá </t>
    </r>
    <r>
      <rPr>
        <i/>
        <sz val="10"/>
        <rFont val="Times New Roman"/>
        <family val="1"/>
      </rPr>
      <t>(đồng)
(không khấu hao)</t>
    </r>
  </si>
  <si>
    <t>Máy chiếu (projector)</t>
  </si>
  <si>
    <t>Điện thoại</t>
  </si>
  <si>
    <t>Máy chiếu (Projector)</t>
  </si>
  <si>
    <t>(ca/thửa đất hoặc khu đất trung bình)</t>
  </si>
  <si>
    <t>Nhóm 2 (1ĐCV3, 1ĐCV4)</t>
  </si>
  <si>
    <t>Chức danh</t>
  </si>
  <si>
    <t>Kỹ sư bậc 1</t>
  </si>
  <si>
    <t>Kỹ sư bậc 2</t>
  </si>
  <si>
    <t>Kỹ sư bậc 3</t>
  </si>
  <si>
    <t>Kỹ sư bậc 4</t>
  </si>
  <si>
    <t>Kỹ sư bậc 5</t>
  </si>
  <si>
    <t>Lái xe bậc 4</t>
  </si>
  <si>
    <r>
      <t xml:space="preserve">Mức lương tối thiểu </t>
    </r>
    <r>
      <rPr>
        <b/>
        <strike/>
        <sz val="12"/>
        <color theme="0"/>
        <rFont val="Times New Roman"/>
        <family val="1"/>
      </rPr>
      <t>theo Nghị định số /2024/NĐ-CP ngày 1 tháng 7 năm 2024</t>
    </r>
    <r>
      <rPr>
        <b/>
        <sz val="12"/>
        <color theme="0"/>
        <rFont val="Times New Roman"/>
        <family val="1"/>
      </rPr>
      <t xml:space="preserve"> (</t>
    </r>
    <r>
      <rPr>
        <b/>
        <strike/>
        <sz val="12"/>
        <color theme="0"/>
        <rFont val="Times New Roman"/>
        <family val="1"/>
      </rPr>
      <t>2.340.000 đồng/tháng)</t>
    </r>
  </si>
  <si>
    <t xml:space="preserve"> Lương cơ bản (LCB): </t>
  </si>
  <si>
    <t xml:space="preserve">Chức danh </t>
  </si>
  <si>
    <t>Hệ 
số lương</t>
  </si>
  <si>
    <t>Lương 
cấp bậc (đồng)</t>
  </si>
  <si>
    <t>PC lưu động 
(0,4 * LCB)</t>
  </si>
  <si>
    <t>PC độc hại 
(0,2 *LCB)</t>
  </si>
  <si>
    <t>BHXH, BHYT, 
KPCĐ
 (23,5%*Lương cấp bậc)</t>
  </si>
  <si>
    <t>Tổng cộng 
=(lương cấp bậc +23,5%*Lương cấp bậc)</t>
  </si>
  <si>
    <t>Lương ngày
=(tổng cộng/26)
(26 ngày công/tháng)</t>
  </si>
  <si>
    <t>(5)=(4)*LCB</t>
  </si>
  <si>
    <t>(8)= (0,2 *LCB)</t>
  </si>
  <si>
    <t>(9) =0,235*LƯƠNG CẤP BẬC</t>
  </si>
  <si>
    <t>Địa chính viên hạng III bậc 1 (ĐCV1)</t>
  </si>
  <si>
    <t>Địa chính viên hạng III bậc 2 (ĐCV2)</t>
  </si>
  <si>
    <t>Địa chính viên hạng III bậc 3 (ĐCV3)</t>
  </si>
  <si>
    <t>Địa chính viên hạng III bậc 2 (ĐCV2) (Phân tích mẫu)</t>
  </si>
  <si>
    <t>Địa chính viên hạng III bậc 3 (ĐCV3) (Phân tích mẫu)</t>
  </si>
  <si>
    <t>Địa chính viên hạng III bậc 4 (ĐCV4)</t>
  </si>
  <si>
    <t>Địa chính viên hạng III bậc 5 (ĐCV5)</t>
  </si>
  <si>
    <t>Kỹ sư bậc 6</t>
  </si>
  <si>
    <t>Địa chính viên hạng III bậc 6 (ĐCV6)</t>
  </si>
  <si>
    <t>Kỹ sư chính 1 (KSC1)</t>
  </si>
  <si>
    <t>Địa chính viên hạng II bậc 1 (ĐCVC1)</t>
  </si>
  <si>
    <t>Kỹ sư chính 2 (KSC2)</t>
  </si>
  <si>
    <t>Địa chính viên hạng II bậc 2 (ĐCVC2)</t>
  </si>
  <si>
    <t>KTV4</t>
  </si>
  <si>
    <t>KTV6</t>
  </si>
  <si>
    <t>LX2</t>
  </si>
  <si>
    <t>LX5</t>
  </si>
  <si>
    <t>Phân tích mẫu</t>
  </si>
  <si>
    <t>Quan trắc viên TNMT hạng III bậc 1</t>
  </si>
  <si>
    <t>Quan trắc viên TNMT hạng III bậc 2</t>
  </si>
  <si>
    <t>Công nhóm</t>
  </si>
  <si>
    <t xml:space="preserve">Công nhóm </t>
  </si>
  <si>
    <t>Nhóm 2 (1KS2, 1KS4)</t>
  </si>
  <si>
    <t>Nhóm 1ĐCV2, 1ĐCV4</t>
  </si>
  <si>
    <t>Nhóm 2 (1KS3, 1KSC2)</t>
  </si>
  <si>
    <t>Nhóm 1ĐCV3, 1ĐCVC2</t>
  </si>
  <si>
    <t>Nhóm 2 (1KS4, 1KS6)</t>
  </si>
  <si>
    <t>Nhóm 1ĐCV4, 1ĐCV6</t>
  </si>
  <si>
    <t>Nhóm 2 (1KTV6, 1KS3)</t>
  </si>
  <si>
    <t>Nhóm 2ĐCV3</t>
  </si>
  <si>
    <t>Nhóm 1 (1KS3)</t>
  </si>
  <si>
    <t>1ĐCV3</t>
  </si>
  <si>
    <t>Nhóm 2 (1KTV6, 1KS5)</t>
  </si>
  <si>
    <t>Nhóm 2 (2KS3)</t>
  </si>
  <si>
    <t>Nhóm 3 (1KS4, 1KS6, 1KSC2)</t>
  </si>
  <si>
    <t>Nhóm 1ĐCV4, 1ĐCV6, 1ĐCVC2</t>
  </si>
  <si>
    <t>Nhóm 3 (1KTV6, 2KS3)</t>
  </si>
  <si>
    <t>Nhóm 3ĐCV3</t>
  </si>
  <si>
    <t>Nhóm 3 (3KS5)</t>
  </si>
  <si>
    <t>Nhóm 3ĐCV5</t>
  </si>
  <si>
    <t>Nhóm 1ĐCV1, 2ĐCV3</t>
  </si>
  <si>
    <t>Nhóm 4 (4KS3)</t>
  </si>
  <si>
    <t>Nhóm 4ĐCV3</t>
  </si>
  <si>
    <t>Nhóm 4 (1KTV6, 3KS3)</t>
  </si>
  <si>
    <t>Nhóm 4 (2KTV6, 2KS3)</t>
  </si>
  <si>
    <t>LX4</t>
  </si>
  <si>
    <t>Nhóm 2ĐCV3,1LX4</t>
  </si>
  <si>
    <t>Nhóm 3ĐCV3,1LX4</t>
  </si>
  <si>
    <t>Công Phân tích mẫu</t>
  </si>
  <si>
    <t>Nhóm 1 (1ĐCV2)</t>
  </si>
  <si>
    <t>1ĐCV2</t>
  </si>
  <si>
    <t>Nhóm 1 (1ĐCV3)</t>
  </si>
  <si>
    <t>Hệ số lương cấp bậc theo Nghị định số 204/2004/NĐ-CP ngày 14 tháng 12 năm 2004;
Mức lương cơ sở theo Nghị định số 74/2024/NĐ-CP ngày 30 tháng 6 năm 2024 (2.340.000 đồng/tháng)</t>
  </si>
  <si>
    <t>Nhóm 1ĐCV3, 1ĐCV4</t>
  </si>
  <si>
    <t>Thuyết minh</t>
  </si>
  <si>
    <t>Tổng hợp các kết quả tính toán thành một phương án trình giá đất cụ thể. Hình thức và cấu trúc văn bản được quy chuẩn chung.</t>
  </si>
  <si>
    <t xml:space="preserve">Đất phi nông nghiệp yêu cầu thu thập lượng dữ liệu lớn và phức tạp: giá giao dịch thị trường, giá thuê mặt bằng, chi phí đầu tư xây dựng, suất vốn đầu tư, chi phí quảng cáo, bán hàng.
 Đất nông nghiệp chủ yếu thu thập số liệu về năng suất, giá bán nông sản và chi phí sản xuất từ cơ quan thống kê, cơ quan nông nghiệp nên tiết kiệm thời gian khảo sát thực tế hơn. </t>
  </si>
  <si>
    <t>Đây là công việc nhằm làm sạch dữ liệu, loại bỏ các phiếu điều tra không đạt yêu cầu. Khối lượng giấy tờ và hồ sơ cứng cần kiểm tra, rà soát là tương đương nhau.</t>
  </si>
  <si>
    <t xml:space="preserve">Xử lý dữ liệu đất phi nông nghiệp phức tạp hơn do phải bóc tách nhiều yếu tố hình thành giá như vị trí mặt tiền, lộ giới, hệ số sử dụng đất, quy hoạch kiến trúc. Đất nông nghiệp ít yếu tố biến động phức tạp nên thời gian phân tích số liệu ngắn hơn. </t>
  </si>
  <si>
    <t xml:space="preserve">Định giá đất phi nông nghiệp thường áp dụng phương pháp thặng dư hoặc so sánh, đòi hỏi lập mô hình tài chính ước tính tổng doanh thu phát triển, tổng chi phí phát triển và tính toán dòng tiền chiết khấu phức tạp theo từng năm thực hiện dự án.
Đất nông nghiệp thường áp dụng phương pháp thu nhập cơ bản, thuật toán tính toán trực quan và nhanh chóng hơn. </t>
  </si>
  <si>
    <t xml:space="preserve">Báo cáo thuyết minh phải được lập theo Mẫu số 41 Phụ lục II. Quá trình soạn thảo văn bản, giải trình cơ sở pháp lý và nguồn gốc số liệu áp dụng chung một khung định dạng. </t>
  </si>
  <si>
    <t xml:space="preserve">Chứng thư định giá được lập theo biểu mẫu hành chính (Mẫu số 42 Phụ lục II). Khối lượng công việc soạn thảo và trình bày là giống nhau đối với mọi loại đất. </t>
  </si>
  <si>
    <t>Trước đây (Thời điểm Thông tư 20/2015): Đất ở phần lớn được định giá theo phương pháp so sánh trực tiếp dựa trên các yếu tố đơn giản như vị trí mặt tiền, chiều sâu thửa đất. Trong khi đó, đất sản xuất kinh doanh phi nông nghiệp lại đòi hỏi bóc tách các yếu tố kỹ thuật phức tạp hơn nên được phân bổ số công cao hơn.
Hiện nay (Theo Văn bản hợp nhất số 52/VBHN-BNNMT): Tại Khoản 1 Điều 8, pháp luật quy định một bộ tiêu chí chung áp dụng cho toàn bộ Nhóm đất phi nông nghiệp (đã bao gồm đất ở). Đất ở hiện nay (nhất là đất ở dự án, chung cư cao tầng, khu đô thị phức hợp) đều phải phân tích các chỉ tiêu quy hoạch hiện đại và phức tạp như: hệ số sử dụng đất, mật độ xây dựng, giới hạn chiều cao công trình, giới hạn số tầng hầm....</t>
  </si>
  <si>
    <t>Tính bằng số công điều tra ngoại nghiệp</t>
  </si>
  <si>
    <t>Tính bằng 40% số công ngoại nghiệp</t>
  </si>
  <si>
    <t>Tính bằng số công điều tra ngoại nghiệp và 20% công nội nghiệp</t>
  </si>
  <si>
    <t>Tính bằng 20% số công ngoại nghiệp và 20% công nội nghiệp</t>
  </si>
  <si>
    <t>Tính bằng 40% số công ngoại nghiệp và 60% công nghiệp nghiệp</t>
  </si>
  <si>
    <t xml:space="preserve">Cộng </t>
  </si>
  <si>
    <t>áp dụng tương đương hạng Mục 2.1 Bảng 14 Thông tư 20</t>
  </si>
  <si>
    <t>áp dụng tương đương hạngMục 2.2 Bảng 14 Thông tư 20</t>
  </si>
  <si>
    <t>áp dụng tương đương hạng Mục 2.4 Bảng 14 Thông tư 20</t>
  </si>
  <si>
    <t>áp dụng tương đương hạng Mục 3.1 Bảng 14 Thông tư 20</t>
  </si>
  <si>
    <t>áp dụng tương đương hạng Mục 3.2 Bảng 14 Thông tư 20</t>
  </si>
  <si>
    <t>áp dụng tương đương hạng Mục 3.4 Bảng 14 Thông tư 20</t>
  </si>
  <si>
    <t>áp dụng tương đương hạng Mục 3.5 Bảng 14 Thông tư 20</t>
  </si>
  <si>
    <t>áp dụng tương đương hạng Mục 3.3 Bảng 14 Thông tư 20</t>
  </si>
  <si>
    <t>áp dụng tương đương hạng Mục 2.3 Bảng 14</t>
  </si>
  <si>
    <t>Tương ứng phần hoàn thiện dự thảo phương án giá đất (Mục 4,5 Bảng 14).</t>
  </si>
  <si>
    <t>1.1</t>
  </si>
  <si>
    <t>1.2</t>
  </si>
  <si>
    <t>3.3</t>
  </si>
  <si>
    <t>Tính 60% tổng nhân công nội nghiệp; không tính nhân công điều tra phiếu</t>
  </si>
  <si>
    <t>Tính theo phòng = số nhân công nội nghiệp (không tính nhân công điều tra phiếu)/6 người</t>
  </si>
  <si>
    <t xml:space="preserve">Nội dung này yêu cầu khảo sát hiện trạng, ranh giới, hình thể và mục đích sử dụng đất tại hiện trường. Do diện tích quy chuẩn đã được ấn định, thời gian đi lại và đo đạc cơ bản là tương đương nhau giữa hai loại đất. </t>
  </si>
  <si>
    <t>Sau khi có ý kiến thẩm định, đơn vị tư vấn phải tiếp thu, giải trình, chỉnh sửa và hoàn thiện hồ sơ để trình cấp có thẩm quyền quyết định. Bước này mang tính thủ tục hành chính bắt buộc nên định mức công được tính bằng nhau.</t>
  </si>
  <si>
    <r>
      <t xml:space="preserve">Định mức 
</t>
    </r>
    <r>
      <rPr>
        <i/>
        <sz val="10"/>
        <color rgb="FF000000"/>
        <rFont val="Times New Roman"/>
        <family val="1"/>
      </rPr>
      <t>(ca/khu vực định giá trung bình)</t>
    </r>
  </si>
  <si>
    <r>
      <t xml:space="preserve">Thành tiền
</t>
    </r>
    <r>
      <rPr>
        <i/>
        <sz val="10"/>
        <color rgb="FF000000"/>
        <rFont val="Times New Roman"/>
        <family val="1"/>
      </rPr>
      <t>(ca/khu vực định giá trung bình)</t>
    </r>
  </si>
  <si>
    <t>tính theo công xuất của thiết bị</t>
  </si>
  <si>
    <t xml:space="preserve">A1. CHI PHÍ nang luong ĐỊNH GIÁ ĐẤT CỤ THỂ 3PP </t>
  </si>
  <si>
    <t>Năng lượng</t>
  </si>
  <si>
    <t>ội dung công việc</t>
  </si>
  <si>
    <t>(công nhóm/thửa đất hoặc khu đất trung bình)</t>
  </si>
  <si>
    <t>Đất ở</t>
  </si>
  <si>
    <t>Công tác chuẩn bị</t>
  </si>
  <si>
    <t>Rà soát, tổng hợp các thông tin chung tại khu vực có thửa đất cần định giá</t>
  </si>
  <si>
    <t>1KS3</t>
  </si>
  <si>
    <t>Chuẩn bị biểu mẫu, phiếu thu thập thông tin, …</t>
  </si>
  <si>
    <t>1KTV4</t>
  </si>
  <si>
    <t>Định mức theo Quyết định số 32/2025/QĐ-UBND ngày 11/3/2025 của UBND tỉnh</t>
  </si>
  <si>
    <t>Thu thập các thông tin về thửa đất cần định giá</t>
  </si>
  <si>
    <t>Nhóm 2 (1KS4+1KS3)</t>
  </si>
  <si>
    <t>Kiểm tra, rà soát về tính chính xác, đầy đủ của các thông tin để áp dụng phương pháp định giá đất</t>
  </si>
  <si>
    <t>Phân tích, lựa chọn phương pháp định giá đất</t>
  </si>
  <si>
    <t>Thực hiện trình tự nội dung xác định giá đất theo phương pháp lựa chọn</t>
  </si>
  <si>
    <t>3.4</t>
  </si>
  <si>
    <t>Dự thảo Chứng thư định giá đất</t>
  </si>
  <si>
    <r>
      <t>Thu thập, tổng hợp,</t>
    </r>
    <r>
      <rPr>
        <sz val="10"/>
        <color rgb="FFFF0000"/>
        <rFont val="Times New Roman"/>
        <family val="1"/>
      </rPr>
      <t> </t>
    </r>
    <r>
      <rPr>
        <b/>
        <sz val="10"/>
        <color rgb="FFFF0000"/>
        <rFont val="Times New Roman"/>
        <family val="1"/>
      </rPr>
      <t>phân tích thông tin</t>
    </r>
  </si>
  <si>
    <r>
      <t>Phân tích, lựa chọn</t>
    </r>
    <r>
      <rPr>
        <sz val="10"/>
        <color rgb="FFFF0000"/>
        <rFont val="Times New Roman"/>
        <family val="1"/>
      </rPr>
      <t> </t>
    </r>
    <r>
      <rPr>
        <b/>
        <sz val="10"/>
        <color rgb="FFFF0000"/>
        <rFont val="Times New Roman"/>
        <family val="1"/>
      </rPr>
      <t>phương pháp định giá đất và xây dựng báo cáo thuyết minh xây dựng phương án giá đất, dự thảo Chứng thư định giá đất</t>
    </r>
  </si>
  <si>
    <r>
      <t>Hoàn thiện báo cáo</t>
    </r>
    <r>
      <rPr>
        <sz val="10"/>
        <color rgb="FFFF0000"/>
        <rFont val="Times New Roman"/>
        <family val="1"/>
      </rPr>
      <t> </t>
    </r>
    <r>
      <rPr>
        <b/>
        <sz val="10"/>
        <color rgb="FFFF0000"/>
        <rFont val="Times New Roman"/>
        <family val="1"/>
      </rPr>
      <t>thuyết minh xây dựng phương án giá đất, Chứng thư định giá đất</t>
    </r>
  </si>
  <si>
    <r>
      <t>In, sao, lưu trữ, phát</t>
    </r>
    <r>
      <rPr>
        <sz val="10"/>
        <color rgb="FFFF0000"/>
        <rFont val="Times New Roman"/>
        <family val="1"/>
      </rPr>
      <t> </t>
    </r>
    <r>
      <rPr>
        <b/>
        <sz val="10"/>
        <color rgb="FFFF0000"/>
        <rFont val="Times New Roman"/>
        <family val="1"/>
      </rPr>
      <t>hành báo cáo thuyết minh xây dựng phương án giá đất, Chứng thư định giá đất</t>
    </r>
  </si>
  <si>
    <t xml:space="preserve">Thu thập thông tin chung 
tại khu vực có thửa đất cần 
định giá </t>
  </si>
  <si>
    <t>Rà soát, tổng hợp các thông 
tin chung tại khu vực có 
thửa đất cần định giá</t>
  </si>
  <si>
    <t>Nhóm 1 ĐCV3</t>
  </si>
  <si>
    <t>Dự thảo
Định mức (công nhóm/thửa đất hoặc khu đất trung bình)</t>
  </si>
  <si>
    <t>Thước nhựa 40cm</t>
  </si>
  <si>
    <t>Tính 50%  nhân công ngoại nghiệp</t>
  </si>
  <si>
    <t>Tính 80% tổng nhân công nội nghiệp; không tính nhân công điều tra phiếu</t>
  </si>
  <si>
    <t>Tính 80% tổng nhân công nội nghiệp</t>
  </si>
  <si>
    <t>Tính 40% tổng nhân công nội nghiệp</t>
  </si>
  <si>
    <t>Không sử dụng do hiện nay không còn phù hợp</t>
  </si>
  <si>
    <t>Chuyển sang năng lượng</t>
  </si>
  <si>
    <t>Máy chiếu (slide)</t>
  </si>
  <si>
    <t>Máy phô tô</t>
  </si>
  <si>
    <t>Đưa sang năng lượng</t>
  </si>
  <si>
    <t>Không thực sự cần thiết nên không đưa vào</t>
  </si>
  <si>
    <t>kế thừa 100% Quyết định số 32/2025/QĐ-UBND ngày 11/3/2025 của UBND tỉnh</t>
  </si>
  <si>
    <t>Định mức Quyết định số 32/2025/QĐ-UBND ngày 11/3/2025 của UBND tỉnh
(ca/thửa đất hoặc khu đất trung bình)</t>
  </si>
  <si>
    <t>Định mức Quyết định số 32/2025/QĐ-UBND ngày 11/3/2025 của UBND tỉnh</t>
  </si>
  <si>
    <t>Đĩa CD</t>
  </si>
  <si>
    <t>Chiếc</t>
  </si>
  <si>
    <t>Mực in A3 laser</t>
  </si>
  <si>
    <t>Mực phô tô</t>
  </si>
  <si>
    <t>Túi Nylông đựng tài liệu</t>
  </si>
  <si>
    <r>
      <t xml:space="preserve">Định mức
</t>
    </r>
    <r>
      <rPr>
        <i/>
        <sz val="12"/>
        <rFont val="Times New Roman"/>
        <family val="1"/>
        <scheme val="major"/>
      </rPr>
      <t>(tính cho thửa đất/ khu đất trung bình)</t>
    </r>
    <r>
      <rPr>
        <b/>
        <sz val="12"/>
        <rFont val="Times New Roman"/>
        <family val="1"/>
        <scheme val="major"/>
      </rPr>
      <t xml:space="preserve">
</t>
    </r>
  </si>
  <si>
    <t>Áp dụng 100% định mức tại Quyết định số 32/2025/QĐ-UBND ngày 11/3/2025 của UBND tỉnh</t>
  </si>
  <si>
    <r>
      <t xml:space="preserve">Định mức tại Quyết định số 32/2025/QĐ-UBND ngày 11/3/2025 của UBND tỉnh
</t>
    </r>
    <r>
      <rPr>
        <i/>
        <sz val="12"/>
        <rFont val="Times New Roman"/>
        <family val="1"/>
        <scheme val="major"/>
      </rPr>
      <t>(tính cho thửa đất/ khu đất trung bình)</t>
    </r>
    <r>
      <rPr>
        <b/>
        <sz val="12"/>
        <rFont val="Times New Roman"/>
        <family val="1"/>
        <scheme val="major"/>
      </rPr>
      <t xml:space="preserve">
</t>
    </r>
  </si>
  <si>
    <t>Do sáp nhập hành chính (3 cấp về 2 cấp, sáp nhập xã/phường): Quy mô địa giới hành chính của một đơn vị (xã/phường/huyện) hiện nay lớn hơn nhiều. Khối lượng hồ sơ địa chính, bản đồ quy hoạch, và dữ liệu lịch sử cần thu thập, đối chiếu tăng lên. Cán bộ định giá phải mất nhiều ngày công nội nghiệp hơn để ráp nối các quy hoạch chồng chéo của các đơn vị cũ thành một bức tranh tổng thể cho đơn vị hành chính mới.</t>
  </si>
  <si>
    <t>Nội dung này vận dụng 100% Quyết định số 32/2025/QĐ-UBND ngày 11/3/2025 của UBND tỉnh</t>
  </si>
  <si>
    <t>Đây là bước chốt chặn quan trọng. Do đặc thù các khu vực sáp nhập có sự chênh lệch lớn về vị trí, cán bộ phải có thêm ngày công để chạy thử các phương pháp khác nhau nhằm đối chiếu, đảm bảo kết quả giá đất không bị "đột biến" hoặc bất hợp lý giữa các khu vực liền kề trong cùng một đơn vị hành chính mới.</t>
  </si>
  <si>
    <t>Đất phi nông nghiệp có độ nhạy cảm cao về giá, cần hiệu chỉnh tỉ mỉ các tỷ lệ phần trăm chênh lệch về vị trí, giao thông, hạ tầng, quy hoạch. Thời gian rà soát chéo các tham số này đòi hỏi sự kỹ lưỡng gấp đôi.
Đất phi nông nghiệp có độ nhạy cảm cao về giá, cần hiệu chỉnh tỉ mỉ các tỷ lệ phần trăm chênh lệch về vị trí, giao thông, hạ tầng, quy hoạch. Thời gian rà soát chéo các tham số này đòi hỏi sự kỹ lưỡng gấp đôi</t>
  </si>
  <si>
    <t xml:space="preserve">Diện tích xã/phường mở rộng khiến quãng đường di chuyển khảo sát thực địa xa hơn, tốn thời gian hơn. Để tìm đủ tài sản so sánh tương đồng trong một khu vực rộng lớn, có địa hình hoặc hạ tầng phân hóa (do gộp nhiều xã/phường cũ), do dó thời gian thực hiện tăng lên so với trước đây.
Đất phi nông nghiệp yêu cầu thu thập lượng dữ liệu lớn và phức tạp: giá giao dịch thị trường, giá thuê mặt bằng, chi phí đầu tư xây dựng, suất vốn đầu tư, chi phí quảng cáo, bán hàng.
 Đất nông nghiệp chủ yếu thu thập số liệu về năng suất, giá bán nông sản và chi phí sản xuất từ cơ quan thống kê, cơ quan nông nghiệp nên tiết kiệm thời gian khảo sát thực tế hơn. </t>
  </si>
  <si>
    <t xml:space="preserve">Thuyết minh </t>
  </si>
  <si>
    <r>
      <t xml:space="preserve">Thời gian SD máy </t>
    </r>
    <r>
      <rPr>
        <sz val="10"/>
        <rFont val="Times New Roman"/>
        <family val="1"/>
      </rPr>
      <t>(tháng)</t>
    </r>
  </si>
  <si>
    <t>Khu vực</t>
  </si>
  <si>
    <r>
      <t xml:space="preserve">Diện tích </t>
    </r>
    <r>
      <rPr>
        <sz val="14"/>
        <color rgb="FF000000"/>
        <rFont val="Times New Roman"/>
        <family val="1"/>
      </rPr>
      <t>(ha)</t>
    </r>
  </si>
  <si>
    <t>Các xã</t>
  </si>
  <si>
    <t>Các phường</t>
  </si>
  <si>
    <t>1. Bảng hệ số theo quy mô diện tích và khu vực để điều chỉnh định mức kinh tế - kỹ thuật khi định giá đất cụ thể theo các phương pháp so sánh, thu nhập và thặng dư.
Bảng 01. Bảng hệ số theo quy mô diện tích và khu vực 
(Áp dụng đối với đất phi nông nghiệp)</t>
  </si>
  <si>
    <t>Bảng 02. Bảng hệ số theo quy mô diện tích và khu vực</t>
  </si>
  <si>
    <t>(Áp dụng đối với đất nông nghiệp)</t>
  </si>
  <si>
    <t>Diện tích cần định giá</t>
  </si>
  <si>
    <t>Hệ số xã</t>
  </si>
  <si>
    <t>Hệ số phường</t>
  </si>
  <si>
    <t>Hệ số</t>
  </si>
  <si>
    <t>1 MĐSD</t>
  </si>
  <si>
    <t>Nhiều MĐSD</t>
  </si>
  <si>
    <t>DT lớn có nhiều MĐ</t>
  </si>
  <si>
    <t xml:space="preserve">tính tiền sử dụng đất khi điều chỉnh quy hoạch chi tiết xây dựng </t>
  </si>
  <si>
    <t>Trường hợp xác định giá đất để tính bồi thường</t>
  </si>
  <si>
    <t>Ngoại nghiêp</t>
  </si>
  <si>
    <t>Chi phí chung</t>
  </si>
  <si>
    <t>Thuế VAT 8%</t>
  </si>
  <si>
    <t>Thành tiền (chưa thuế)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</si>
</sst>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 #,##0.00_)\ _ _Đ_ồ_n_g_ ;_ * \(#,##0.00\)\ _ _Đ_ồ_n_g_ ;_ * &quot;-&quot;??_)\ _ _Đ_ồ_n_g_ ;_ @_ "/>
    <numFmt numFmtId="165" formatCode="\(#\)"/>
    <numFmt numFmtId="166" formatCode="_(* #,##0.00_);_(* \(#,##0.00\);_(* \-??_);_(@_)"/>
  </numFmts>
  <fonts count="58" x14ac:knownFonts="1">
    <font>
      <sz val="11"/>
      <color theme="1"/>
      <name val="Arial"/>
      <family val="2"/>
      <scheme val="minor"/>
    </font>
    <font>
      <sz val="10"/>
      <name val="Arial"/>
      <family val="2"/>
    </font>
    <font>
      <b/>
      <sz val="14"/>
      <name val="Times New Roman"/>
      <family val="1"/>
    </font>
    <font>
      <sz val="11"/>
      <name val="Arial"/>
      <family val="2"/>
      <scheme val="minor"/>
    </font>
    <font>
      <sz val="12"/>
      <name val="Times New Roman"/>
      <family val="1"/>
    </font>
    <font>
      <sz val="12"/>
      <color rgb="FF000000"/>
      <name val="Times New Roman"/>
      <family val="1"/>
    </font>
    <font>
      <b/>
      <sz val="12"/>
      <color rgb="FF000000"/>
      <name val="Times New Roman"/>
      <family val="1"/>
    </font>
    <font>
      <sz val="14"/>
      <name val="Times New Roman"/>
      <family val="1"/>
    </font>
    <font>
      <b/>
      <sz val="13"/>
      <name val="Times New Roman"/>
      <family val="1"/>
    </font>
    <font>
      <sz val="13"/>
      <name val="Times New Roman"/>
      <family val="1"/>
    </font>
    <font>
      <sz val="10"/>
      <name val="Times New Roman"/>
      <family val="1"/>
    </font>
    <font>
      <b/>
      <sz val="10"/>
      <color theme="1"/>
      <name val="Times New Roman"/>
      <family val="1"/>
    </font>
    <font>
      <b/>
      <sz val="10"/>
      <color rgb="FF000000"/>
      <name val="Times New Roman"/>
      <family val="1"/>
    </font>
    <font>
      <sz val="10"/>
      <color rgb="FF000000"/>
      <name val="Times New Roman"/>
      <family val="1"/>
    </font>
    <font>
      <sz val="10"/>
      <color theme="1"/>
      <name val="Times New Roman"/>
      <family val="1"/>
    </font>
    <font>
      <sz val="8"/>
      <color rgb="FF000000"/>
      <name val="Times New Roman"/>
      <family val="1"/>
    </font>
    <font>
      <sz val="9"/>
      <color rgb="FF000000"/>
      <name val="Times New Roman"/>
      <family val="1"/>
    </font>
    <font>
      <sz val="10"/>
      <color theme="1"/>
      <name val="Arial"/>
      <family val="2"/>
      <scheme val="minor"/>
    </font>
    <font>
      <b/>
      <sz val="10"/>
      <name val="Times New Roman"/>
      <family val="1"/>
    </font>
    <font>
      <b/>
      <sz val="10"/>
      <color theme="1"/>
      <name val="Times New Roman"/>
      <family val="1"/>
      <charset val="163"/>
    </font>
    <font>
      <b/>
      <sz val="10"/>
      <color rgb="FF000000"/>
      <name val="Times New Roman"/>
      <family val="1"/>
      <charset val="163"/>
    </font>
    <font>
      <i/>
      <sz val="10"/>
      <name val="Times New Roman"/>
      <family val="1"/>
    </font>
    <font>
      <i/>
      <sz val="10"/>
      <color rgb="FF000000"/>
      <name val="Times New Roman"/>
      <family val="1"/>
    </font>
    <font>
      <b/>
      <strike/>
      <sz val="12"/>
      <color theme="0"/>
      <name val="Times New Roman"/>
      <family val="1"/>
    </font>
    <font>
      <b/>
      <sz val="12"/>
      <color theme="0"/>
      <name val="Times New Roman"/>
      <family val="1"/>
    </font>
    <font>
      <sz val="12"/>
      <color rgb="FFFF0000"/>
      <name val="Times New Roman"/>
      <family val="1"/>
    </font>
    <font>
      <sz val="10"/>
      <color rgb="FFFF0000"/>
      <name val="Times New Roman"/>
      <family val="1"/>
    </font>
    <font>
      <sz val="11"/>
      <color rgb="FFFF0000"/>
      <name val="Times New Roman"/>
      <family val="1"/>
    </font>
    <font>
      <sz val="13"/>
      <color theme="1"/>
      <name val="Times New Roman"/>
      <family val="1"/>
    </font>
    <font>
      <sz val="13"/>
      <color rgb="FF000000"/>
      <name val="Times New Roman"/>
      <family val="1"/>
    </font>
    <font>
      <i/>
      <sz val="12"/>
      <color rgb="FF000000"/>
      <name val="Times New Roman"/>
      <family val="1"/>
    </font>
    <font>
      <sz val="10"/>
      <color theme="1"/>
      <name val="Times New Roman"/>
      <family val="1"/>
      <scheme val="major"/>
    </font>
    <font>
      <b/>
      <sz val="12"/>
      <color rgb="FFFF0000"/>
      <name val="Times New Roman"/>
      <family val="1"/>
    </font>
    <font>
      <b/>
      <sz val="10"/>
      <color rgb="FFFF0000"/>
      <name val="Times New Roman"/>
      <family val="1"/>
    </font>
    <font>
      <sz val="11"/>
      <name val="Times New Roman"/>
      <family val="1"/>
      <scheme val="major"/>
    </font>
    <font>
      <b/>
      <sz val="12"/>
      <color theme="1"/>
      <name val="Times New Roman"/>
      <family val="1"/>
    </font>
    <font>
      <b/>
      <sz val="11"/>
      <name val="Arial"/>
      <family val="2"/>
      <charset val="163"/>
      <scheme val="minor"/>
    </font>
    <font>
      <sz val="8"/>
      <name val="Arial"/>
      <family val="2"/>
      <scheme val="minor"/>
    </font>
    <font>
      <sz val="11"/>
      <color rgb="FFFF0000"/>
      <name val="Times New Roman"/>
      <family val="1"/>
      <scheme val="major"/>
    </font>
    <font>
      <sz val="11"/>
      <color rgb="FFFF0000"/>
      <name val="Arial"/>
      <family val="2"/>
      <scheme val="minor"/>
    </font>
    <font>
      <i/>
      <sz val="10"/>
      <color rgb="FFFF0000"/>
      <name val="Times New Roman"/>
      <family val="1"/>
    </font>
    <font>
      <sz val="10"/>
      <color theme="1"/>
      <name val="Arial"/>
      <family val="2"/>
    </font>
    <font>
      <sz val="10"/>
      <color rgb="FFFF0000"/>
      <name val="Times New Roman"/>
      <family val="1"/>
      <scheme val="major"/>
    </font>
    <font>
      <sz val="10"/>
      <color rgb="FFFF0000"/>
      <name val="Arial"/>
      <family val="2"/>
    </font>
    <font>
      <b/>
      <sz val="12"/>
      <name val="Times New Roman"/>
      <family val="1"/>
      <scheme val="major"/>
    </font>
    <font>
      <i/>
      <sz val="12"/>
      <name val="Times New Roman"/>
      <family val="1"/>
      <scheme val="major"/>
    </font>
    <font>
      <sz val="12"/>
      <name val="Times New Roman"/>
      <family val="1"/>
      <scheme val="major"/>
    </font>
    <font>
      <sz val="12"/>
      <color rgb="FF000000"/>
      <name val="Times New Roman"/>
      <family val="1"/>
      <scheme val="major"/>
    </font>
    <font>
      <b/>
      <sz val="10"/>
      <color theme="1"/>
      <name val="Times New Roman"/>
      <family val="1"/>
      <scheme val="major"/>
    </font>
    <font>
      <b/>
      <sz val="10"/>
      <color rgb="FF000000"/>
      <name val="Times New Roman"/>
      <family val="1"/>
      <scheme val="major"/>
    </font>
    <font>
      <sz val="10"/>
      <color rgb="FF000000"/>
      <name val="Times New Roman"/>
      <family val="1"/>
      <scheme val="major"/>
    </font>
    <font>
      <b/>
      <sz val="11"/>
      <name val="Times New Roman"/>
      <family val="1"/>
      <scheme val="major"/>
    </font>
    <font>
      <b/>
      <sz val="14"/>
      <color rgb="FF000000"/>
      <name val="Times New Roman"/>
      <family val="1"/>
    </font>
    <font>
      <sz val="14"/>
      <color theme="1"/>
      <name val="Times New Roman"/>
      <family val="1"/>
    </font>
    <font>
      <sz val="14"/>
      <color rgb="FF000000"/>
      <name val="Times New Roman"/>
      <family val="1"/>
    </font>
    <font>
      <sz val="11"/>
      <color theme="1"/>
      <name val="Times New Roman"/>
      <family val="1"/>
    </font>
    <font>
      <i/>
      <sz val="14"/>
      <color theme="1"/>
      <name val="Times New Roman"/>
      <family val="1"/>
    </font>
    <font>
      <sz val="11"/>
      <color theme="1"/>
      <name val="Arial"/>
      <family val="2"/>
      <scheme val="minor"/>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
      <patternFill patternType="solid">
        <fgColor rgb="FFFFFFFF"/>
        <bgColor rgb="FFFFFFFF"/>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7">
    <xf numFmtId="0" fontId="0"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57" fillId="0" borderId="0" applyFont="0" applyFill="0" applyBorder="0" applyAlignment="0" applyProtection="0"/>
  </cellStyleXfs>
  <cellXfs count="334">
    <xf numFmtId="0" fontId="0" fillId="0" borderId="0" xfId="0"/>
    <xf numFmtId="0" fontId="3" fillId="0" borderId="0" xfId="0" applyFont="1"/>
    <xf numFmtId="0" fontId="2" fillId="0" borderId="0" xfId="0" applyFont="1" applyAlignment="1">
      <alignment horizontal="center"/>
    </xf>
    <xf numFmtId="0" fontId="8" fillId="0" borderId="1" xfId="0" applyFont="1" applyBorder="1" applyAlignment="1">
      <alignment horizontal="center" vertical="center" wrapText="1"/>
    </xf>
    <xf numFmtId="3" fontId="9" fillId="0" borderId="1" xfId="3" applyNumberFormat="1" applyFont="1" applyFill="1" applyBorder="1" applyAlignment="1">
      <alignment horizontal="right" vertical="center" wrapText="1"/>
    </xf>
    <xf numFmtId="0" fontId="7" fillId="0" borderId="0" xfId="0" applyFont="1" applyAlignment="1">
      <alignment horizontal="center"/>
    </xf>
    <xf numFmtId="0" fontId="7" fillId="0" borderId="0" xfId="0" applyFont="1"/>
    <xf numFmtId="3" fontId="7" fillId="0" borderId="0" xfId="0" applyNumberFormat="1" applyFont="1"/>
    <xf numFmtId="0" fontId="8" fillId="0" borderId="1" xfId="0" applyFont="1" applyBorder="1" applyAlignment="1">
      <alignment horizontal="center" vertical="center"/>
    </xf>
    <xf numFmtId="0" fontId="9" fillId="0" borderId="1" xfId="0" applyFont="1" applyBorder="1" applyAlignment="1">
      <alignment horizontal="center" vertical="center" wrapText="1"/>
    </xf>
    <xf numFmtId="3" fontId="9" fillId="0" borderId="1" xfId="0" applyNumberFormat="1" applyFont="1" applyBorder="1" applyAlignment="1">
      <alignment vertical="center"/>
    </xf>
    <xf numFmtId="0" fontId="9" fillId="0" borderId="7" xfId="0" applyFont="1" applyBorder="1" applyAlignment="1">
      <alignment horizontal="center" vertical="center" wrapText="1"/>
    </xf>
    <xf numFmtId="3" fontId="9" fillId="0" borderId="7" xfId="0" applyNumberFormat="1" applyFont="1" applyBorder="1" applyAlignment="1">
      <alignment vertical="center"/>
    </xf>
    <xf numFmtId="3" fontId="9" fillId="0" borderId="1" xfId="0" applyNumberFormat="1" applyFont="1" applyBorder="1" applyAlignment="1">
      <alignment vertical="center" wrapText="1"/>
    </xf>
    <xf numFmtId="0" fontId="9" fillId="0" borderId="1" xfId="0" applyFont="1" applyBorder="1" applyAlignment="1">
      <alignment horizontal="center" vertical="center"/>
    </xf>
    <xf numFmtId="0" fontId="4" fillId="0" borderId="1" xfId="0" applyFont="1" applyBorder="1" applyAlignment="1">
      <alignment vertical="center" wrapText="1"/>
    </xf>
    <xf numFmtId="0" fontId="3" fillId="0" borderId="0" xfId="0" applyFont="1" applyAlignment="1">
      <alignment vertical="center"/>
    </xf>
    <xf numFmtId="0" fontId="9" fillId="0" borderId="1" xfId="0" applyFont="1" applyBorder="1" applyAlignment="1">
      <alignment vertical="center" wrapText="1"/>
    </xf>
    <xf numFmtId="0" fontId="9" fillId="0" borderId="7" xfId="0" applyFont="1" applyBorder="1" applyAlignment="1">
      <alignment vertical="center" wrapText="1"/>
    </xf>
    <xf numFmtId="0" fontId="9" fillId="0" borderId="1" xfId="0" applyFont="1" applyBorder="1" applyAlignment="1">
      <alignment horizontal="justify" vertical="center" wrapText="1"/>
    </xf>
    <xf numFmtId="0" fontId="14" fillId="0" borderId="0" xfId="0" applyFont="1"/>
    <xf numFmtId="0" fontId="14" fillId="0" borderId="1" xfId="0" applyFont="1" applyBorder="1"/>
    <xf numFmtId="0" fontId="13" fillId="3" borderId="1" xfId="0" applyFont="1" applyFill="1" applyBorder="1" applyAlignment="1">
      <alignment vertical="center" wrapText="1"/>
    </xf>
    <xf numFmtId="0" fontId="11" fillId="0" borderId="0" xfId="0" applyFont="1"/>
    <xf numFmtId="0" fontId="14" fillId="0" borderId="0" xfId="0" applyFont="1" applyAlignment="1">
      <alignment horizontal="center"/>
    </xf>
    <xf numFmtId="0" fontId="10"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7" fillId="0" borderId="0" xfId="0" applyFont="1"/>
    <xf numFmtId="0" fontId="13" fillId="0" borderId="1" xfId="0" applyFont="1" applyBorder="1" applyAlignment="1">
      <alignment horizontal="center" vertical="center" wrapText="1"/>
    </xf>
    <xf numFmtId="3" fontId="13" fillId="0" borderId="1" xfId="0" applyNumberFormat="1" applyFont="1" applyBorder="1" applyAlignment="1">
      <alignment horizontal="center" vertical="center" wrapText="1"/>
    </xf>
    <xf numFmtId="0" fontId="11" fillId="0" borderId="1" xfId="0" applyFont="1" applyBorder="1" applyAlignment="1">
      <alignment vertical="center"/>
    </xf>
    <xf numFmtId="3" fontId="18" fillId="0" borderId="1" xfId="0" applyNumberFormat="1" applyFont="1" applyBorder="1" applyAlignment="1">
      <alignment horizontal="center" vertical="center"/>
    </xf>
    <xf numFmtId="3" fontId="18" fillId="0" borderId="0" xfId="0" applyNumberFormat="1" applyFont="1" applyAlignment="1">
      <alignment horizontal="center" vertical="center"/>
    </xf>
    <xf numFmtId="0" fontId="18" fillId="0" borderId="0" xfId="1" applyFont="1" applyAlignment="1">
      <alignment vertical="center" wrapText="1"/>
    </xf>
    <xf numFmtId="0" fontId="10" fillId="0" borderId="0" xfId="0" applyFont="1"/>
    <xf numFmtId="0" fontId="18"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1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4" fontId="13"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0" fontId="10" fillId="0" borderId="0" xfId="0" applyFont="1" applyAlignment="1">
      <alignment horizontal="center"/>
    </xf>
    <xf numFmtId="0" fontId="10" fillId="0" borderId="0" xfId="0" applyFont="1" applyAlignment="1">
      <alignment horizontal="center" vertical="center"/>
    </xf>
    <xf numFmtId="0" fontId="18" fillId="0" borderId="0" xfId="0" applyFont="1"/>
    <xf numFmtId="3" fontId="14" fillId="0" borderId="0" xfId="0" applyNumberFormat="1" applyFont="1"/>
    <xf numFmtId="3" fontId="18" fillId="0" borderId="0" xfId="0" applyNumberFormat="1" applyFont="1" applyAlignment="1">
      <alignment horizontal="center" vertical="center" wrapText="1"/>
    </xf>
    <xf numFmtId="3" fontId="6" fillId="0" borderId="0" xfId="0" applyNumberFormat="1" applyFont="1" applyAlignment="1">
      <alignment horizontal="center" vertical="center" wrapText="1"/>
    </xf>
    <xf numFmtId="0" fontId="13" fillId="0" borderId="2" xfId="0" applyFont="1" applyBorder="1" applyAlignment="1">
      <alignment horizontal="center" vertical="center" wrapText="1"/>
    </xf>
    <xf numFmtId="2" fontId="10" fillId="0" borderId="1" xfId="0" applyNumberFormat="1" applyFont="1" applyBorder="1" applyAlignment="1">
      <alignment horizontal="center" vertical="center" wrapText="1"/>
    </xf>
    <xf numFmtId="0" fontId="10" fillId="0" borderId="5" xfId="0" applyFont="1" applyBorder="1" applyAlignment="1">
      <alignment horizontal="center" vertical="center" wrapText="1"/>
    </xf>
    <xf numFmtId="3" fontId="10" fillId="0" borderId="1" xfId="0" applyNumberFormat="1" applyFont="1" applyBorder="1" applyAlignment="1">
      <alignment vertical="center"/>
    </xf>
    <xf numFmtId="3" fontId="10" fillId="0" borderId="3" xfId="0" applyNumberFormat="1" applyFont="1" applyBorder="1" applyAlignment="1">
      <alignment vertical="center"/>
    </xf>
    <xf numFmtId="0" fontId="18" fillId="0" borderId="1" xfId="0" applyFont="1" applyBorder="1" applyAlignment="1">
      <alignment vertical="center"/>
    </xf>
    <xf numFmtId="0" fontId="10" fillId="0" borderId="1" xfId="0" applyFont="1" applyBorder="1" applyAlignment="1">
      <alignment vertical="center"/>
    </xf>
    <xf numFmtId="4" fontId="13" fillId="0" borderId="1" xfId="0" applyNumberFormat="1" applyFont="1" applyBorder="1" applyAlignment="1">
      <alignment vertical="center" wrapText="1"/>
    </xf>
    <xf numFmtId="3" fontId="12" fillId="0" borderId="1" xfId="0" applyNumberFormat="1" applyFont="1" applyBorder="1" applyAlignment="1">
      <alignment horizontal="center" vertical="center" wrapText="1"/>
    </xf>
    <xf numFmtId="0" fontId="12" fillId="0" borderId="0" xfId="0" applyFont="1" applyAlignment="1">
      <alignment vertical="center" wrapText="1"/>
    </xf>
    <xf numFmtId="0" fontId="22" fillId="0" borderId="0" xfId="0" applyFont="1" applyAlignment="1">
      <alignment vertical="center" wrapText="1"/>
    </xf>
    <xf numFmtId="0" fontId="18" fillId="0" borderId="0" xfId="0" applyFont="1" applyAlignment="1">
      <alignment vertical="center" wrapText="1"/>
    </xf>
    <xf numFmtId="3" fontId="18" fillId="4"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0" fontId="14" fillId="0" borderId="0" xfId="0" applyFont="1" applyAlignment="1">
      <alignment horizontal="center" vertical="center"/>
    </xf>
    <xf numFmtId="0" fontId="12" fillId="0" borderId="1" xfId="0" applyFont="1" applyBorder="1" applyAlignment="1">
      <alignment vertical="center" wrapText="1"/>
    </xf>
    <xf numFmtId="0" fontId="13" fillId="0" borderId="1" xfId="0" applyFont="1" applyBorder="1" applyAlignment="1">
      <alignment vertical="center" wrapText="1"/>
    </xf>
    <xf numFmtId="4" fontId="18" fillId="0" borderId="1" xfId="0" applyNumberFormat="1" applyFont="1" applyBorder="1" applyAlignment="1">
      <alignment horizontal="center" vertical="center"/>
    </xf>
    <xf numFmtId="0" fontId="5" fillId="0" borderId="0" xfId="0" applyFont="1" applyAlignment="1">
      <alignment vertical="center"/>
    </xf>
    <xf numFmtId="0" fontId="13" fillId="0" borderId="0" xfId="0" applyFont="1"/>
    <xf numFmtId="0" fontId="5" fillId="0" borderId="0" xfId="0" applyFont="1" applyAlignment="1">
      <alignment horizontal="center" vertical="center"/>
    </xf>
    <xf numFmtId="3" fontId="5" fillId="0" borderId="0" xfId="0" applyNumberFormat="1" applyFont="1" applyAlignment="1">
      <alignment horizontal="left" vertical="center"/>
    </xf>
    <xf numFmtId="3" fontId="5" fillId="0" borderId="0" xfId="0" applyNumberFormat="1" applyFont="1" applyAlignment="1">
      <alignment vertical="center"/>
    </xf>
    <xf numFmtId="0" fontId="5" fillId="0" borderId="13" xfId="0" applyFont="1" applyBorder="1" applyAlignment="1">
      <alignment horizontal="center" vertical="center" wrapText="1"/>
    </xf>
    <xf numFmtId="3" fontId="5" fillId="0" borderId="13" xfId="0" applyNumberFormat="1" applyFont="1" applyBorder="1" applyAlignment="1">
      <alignment horizontal="center" vertical="center" wrapText="1"/>
    </xf>
    <xf numFmtId="165" fontId="5" fillId="0" borderId="13" xfId="0" applyNumberFormat="1" applyFont="1" applyBorder="1" applyAlignment="1">
      <alignment horizontal="center" vertical="center"/>
    </xf>
    <xf numFmtId="3"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vertical="center"/>
    </xf>
    <xf numFmtId="0" fontId="5" fillId="0" borderId="13" xfId="0" applyFont="1" applyBorder="1" applyAlignment="1">
      <alignment vertical="center"/>
    </xf>
    <xf numFmtId="3" fontId="5" fillId="0" borderId="13" xfId="0" applyNumberFormat="1" applyFont="1" applyBorder="1" applyAlignment="1">
      <alignment vertical="center"/>
    </xf>
    <xf numFmtId="0" fontId="5" fillId="0" borderId="13" xfId="0" applyFont="1" applyBorder="1" applyAlignment="1">
      <alignment horizontal="left" vertical="center"/>
    </xf>
    <xf numFmtId="0" fontId="5" fillId="5" borderId="13" xfId="0" applyFont="1" applyFill="1" applyBorder="1" applyAlignment="1">
      <alignment horizontal="center" vertical="center"/>
    </xf>
    <xf numFmtId="0" fontId="5" fillId="5" borderId="13" xfId="0" applyFont="1" applyFill="1" applyBorder="1" applyAlignment="1">
      <alignment horizontal="left" vertical="center"/>
    </xf>
    <xf numFmtId="0" fontId="5" fillId="5" borderId="13" xfId="0" applyFont="1" applyFill="1" applyBorder="1" applyAlignment="1">
      <alignment vertical="center"/>
    </xf>
    <xf numFmtId="3" fontId="5" fillId="5" borderId="13" xfId="0" applyNumberFormat="1" applyFont="1" applyFill="1" applyBorder="1" applyAlignment="1">
      <alignment vertical="center"/>
    </xf>
    <xf numFmtId="0" fontId="5" fillId="5" borderId="0" xfId="0" applyFont="1" applyFill="1" applyAlignment="1">
      <alignment vertical="center"/>
    </xf>
    <xf numFmtId="0" fontId="13" fillId="5" borderId="0" xfId="0" applyFont="1" applyFill="1"/>
    <xf numFmtId="0" fontId="5" fillId="0" borderId="13" xfId="0" applyFont="1" applyBorder="1" applyAlignment="1">
      <alignment horizontal="left"/>
    </xf>
    <xf numFmtId="3" fontId="13" fillId="0" borderId="0" xfId="0" applyNumberFormat="1" applyFont="1"/>
    <xf numFmtId="0" fontId="4" fillId="0" borderId="13" xfId="0" applyFont="1" applyBorder="1" applyAlignment="1">
      <alignment horizontal="center"/>
    </xf>
    <xf numFmtId="0" fontId="4" fillId="0" borderId="14" xfId="0" applyFont="1" applyBorder="1" applyAlignment="1">
      <alignment horizontal="left"/>
    </xf>
    <xf numFmtId="0" fontId="4" fillId="0" borderId="14" xfId="0" applyFont="1" applyBorder="1" applyAlignment="1">
      <alignment horizontal="right"/>
    </xf>
    <xf numFmtId="3" fontId="4" fillId="0" borderId="13" xfId="0" applyNumberFormat="1" applyFont="1" applyBorder="1" applyAlignment="1">
      <alignment vertical="center"/>
    </xf>
    <xf numFmtId="0" fontId="4" fillId="0" borderId="13" xfId="0" applyFont="1" applyBorder="1" applyAlignment="1">
      <alignment vertical="center"/>
    </xf>
    <xf numFmtId="0" fontId="4" fillId="0" borderId="0" xfId="0" applyFont="1" applyAlignment="1">
      <alignment vertical="center"/>
    </xf>
    <xf numFmtId="0" fontId="25" fillId="0" borderId="14" xfId="0" applyFont="1" applyBorder="1" applyAlignment="1">
      <alignment horizontal="left"/>
    </xf>
    <xf numFmtId="0" fontId="25" fillId="0" borderId="14" xfId="0" applyFont="1" applyBorder="1"/>
    <xf numFmtId="3" fontId="25" fillId="0" borderId="14" xfId="0" applyNumberFormat="1" applyFont="1" applyBorder="1"/>
    <xf numFmtId="3" fontId="25" fillId="0" borderId="15" xfId="0" applyNumberFormat="1" applyFont="1" applyBorder="1"/>
    <xf numFmtId="3" fontId="25" fillId="0" borderId="14" xfId="0" applyNumberFormat="1" applyFont="1" applyBorder="1" applyAlignment="1">
      <alignment horizontal="right"/>
    </xf>
    <xf numFmtId="0" fontId="25" fillId="0" borderId="0" xfId="0" applyFont="1" applyAlignment="1">
      <alignment vertical="center"/>
    </xf>
    <xf numFmtId="0" fontId="26" fillId="0" borderId="0" xfId="0" applyFont="1"/>
    <xf numFmtId="0" fontId="27" fillId="0" borderId="13" xfId="0" applyFont="1" applyBorder="1" applyAlignment="1">
      <alignment horizontal="left" vertical="center"/>
    </xf>
    <xf numFmtId="0" fontId="28" fillId="0" borderId="13" xfId="0" applyFont="1" applyBorder="1" applyAlignment="1">
      <alignment horizontal="center" vertical="center"/>
    </xf>
    <xf numFmtId="3" fontId="29" fillId="0" borderId="13" xfId="0" applyNumberFormat="1" applyFont="1" applyBorder="1" applyAlignment="1">
      <alignment horizontal="right" vertical="center"/>
    </xf>
    <xf numFmtId="3" fontId="29" fillId="0" borderId="0" xfId="0" applyNumberFormat="1" applyFont="1"/>
    <xf numFmtId="3" fontId="28" fillId="0" borderId="13" xfId="0" applyNumberFormat="1" applyFont="1" applyBorder="1" applyAlignment="1">
      <alignment horizontal="center" vertical="center"/>
    </xf>
    <xf numFmtId="3" fontId="28" fillId="0" borderId="13" xfId="0" applyNumberFormat="1" applyFont="1" applyBorder="1" applyAlignment="1">
      <alignment horizontal="right" vertical="center"/>
    </xf>
    <xf numFmtId="3" fontId="11" fillId="0" borderId="0" xfId="0" applyNumberFormat="1" applyFont="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vertical="center" wrapText="1"/>
    </xf>
    <xf numFmtId="0" fontId="10" fillId="0" borderId="1" xfId="0" applyFont="1" applyBorder="1"/>
    <xf numFmtId="0" fontId="11" fillId="0" borderId="1" xfId="0" applyFont="1" applyBorder="1"/>
    <xf numFmtId="0" fontId="11" fillId="0" borderId="1" xfId="0" applyFont="1" applyBorder="1" applyAlignment="1">
      <alignment horizontal="center" vertical="center"/>
    </xf>
    <xf numFmtId="0" fontId="11" fillId="0" borderId="1" xfId="0" applyFont="1" applyBorder="1" applyAlignment="1">
      <alignment vertical="center" wrapText="1"/>
    </xf>
    <xf numFmtId="0" fontId="14" fillId="0" borderId="3" xfId="0" applyFont="1" applyBorder="1"/>
    <xf numFmtId="0" fontId="11" fillId="0" borderId="3" xfId="0" applyFont="1" applyBorder="1"/>
    <xf numFmtId="0" fontId="31" fillId="0" borderId="1" xfId="0" applyFont="1" applyBorder="1" applyAlignment="1">
      <alignment horizontal="center" vertical="center" wrapText="1"/>
    </xf>
    <xf numFmtId="0" fontId="10" fillId="0" borderId="1" xfId="0" applyFont="1" applyBorder="1" applyAlignment="1">
      <alignment wrapText="1"/>
    </xf>
    <xf numFmtId="0" fontId="26" fillId="0" borderId="1" xfId="0" applyFont="1" applyBorder="1" applyAlignment="1">
      <alignment horizontal="center" vertical="center" wrapText="1"/>
    </xf>
    <xf numFmtId="0" fontId="26" fillId="0" borderId="1" xfId="0" applyFont="1" applyBorder="1" applyAlignment="1">
      <alignment vertical="center" wrapText="1"/>
    </xf>
    <xf numFmtId="3" fontId="26" fillId="0" borderId="1" xfId="0" applyNumberFormat="1" applyFont="1" applyBorder="1" applyAlignment="1">
      <alignment horizontal="center" vertical="center" wrapText="1"/>
    </xf>
    <xf numFmtId="3" fontId="26" fillId="0" borderId="1" xfId="3" applyNumberFormat="1" applyFont="1" applyFill="1" applyBorder="1" applyAlignment="1">
      <alignment horizontal="center" vertical="center" wrapText="1"/>
    </xf>
    <xf numFmtId="4" fontId="26" fillId="0" borderId="1" xfId="0" applyNumberFormat="1" applyFont="1" applyBorder="1" applyAlignment="1">
      <alignment horizontal="center" vertical="center" wrapText="1"/>
    </xf>
    <xf numFmtId="0" fontId="25" fillId="0" borderId="1" xfId="0" applyFont="1" applyBorder="1" applyAlignment="1">
      <alignment wrapText="1"/>
    </xf>
    <xf numFmtId="0" fontId="25" fillId="6" borderId="13" xfId="0" applyFont="1" applyFill="1" applyBorder="1" applyAlignment="1">
      <alignment vertical="center" wrapText="1"/>
    </xf>
    <xf numFmtId="0" fontId="32" fillId="6" borderId="0" xfId="0" applyFont="1" applyFill="1" applyAlignment="1">
      <alignment vertical="center"/>
    </xf>
    <xf numFmtId="3" fontId="26" fillId="0" borderId="1" xfId="3" applyNumberFormat="1" applyFont="1" applyFill="1" applyBorder="1" applyAlignment="1">
      <alignment horizontal="right" vertical="center" wrapText="1"/>
    </xf>
    <xf numFmtId="0" fontId="33" fillId="0" borderId="1" xfId="0" applyFont="1" applyBorder="1" applyAlignment="1">
      <alignment horizontal="center"/>
    </xf>
    <xf numFmtId="0" fontId="33" fillId="0" borderId="1" xfId="0" applyFont="1" applyBorder="1" applyAlignment="1">
      <alignment vertical="center" wrapText="1"/>
    </xf>
    <xf numFmtId="0" fontId="33" fillId="0" borderId="1" xfId="0" applyFont="1" applyBorder="1" applyAlignment="1">
      <alignment horizontal="center" vertical="center"/>
    </xf>
    <xf numFmtId="0" fontId="33" fillId="0" borderId="1" xfId="0" applyFont="1" applyBorder="1"/>
    <xf numFmtId="0" fontId="26" fillId="0" borderId="1" xfId="0" applyFont="1" applyBorder="1"/>
    <xf numFmtId="0" fontId="26" fillId="0" borderId="1" xfId="0" applyFont="1" applyBorder="1" applyAlignment="1">
      <alignment horizontal="center"/>
    </xf>
    <xf numFmtId="3" fontId="33" fillId="0" borderId="1" xfId="0" applyNumberFormat="1" applyFont="1" applyBorder="1" applyAlignment="1">
      <alignment horizontal="center"/>
    </xf>
    <xf numFmtId="0" fontId="26" fillId="0" borderId="1" xfId="0" applyFont="1" applyBorder="1" applyAlignment="1">
      <alignment wrapText="1"/>
    </xf>
    <xf numFmtId="0" fontId="34" fillId="0" borderId="1" xfId="0" applyFont="1" applyBorder="1" applyAlignment="1">
      <alignment horizontal="center" vertical="center" wrapText="1"/>
    </xf>
    <xf numFmtId="166" fontId="35" fillId="0" borderId="0" xfId="0" applyNumberFormat="1" applyFont="1" applyAlignment="1">
      <alignment vertical="center" wrapText="1"/>
    </xf>
    <xf numFmtId="3" fontId="10" fillId="0" borderId="3" xfId="0" applyNumberFormat="1" applyFont="1" applyBorder="1" applyAlignment="1">
      <alignment horizontal="center" vertical="center"/>
    </xf>
    <xf numFmtId="0" fontId="3" fillId="0" borderId="1" xfId="0" applyFont="1" applyBorder="1" applyAlignment="1">
      <alignment vertical="center"/>
    </xf>
    <xf numFmtId="0" fontId="20" fillId="0" borderId="1" xfId="0" applyFont="1" applyBorder="1" applyAlignment="1">
      <alignment horizontal="center" vertical="center" wrapText="1"/>
    </xf>
    <xf numFmtId="3" fontId="20" fillId="0" borderId="1" xfId="0" applyNumberFormat="1" applyFont="1" applyBorder="1" applyAlignment="1">
      <alignment horizontal="center" vertical="center" wrapText="1"/>
    </xf>
    <xf numFmtId="0" fontId="36" fillId="0" borderId="0" xfId="0" applyFont="1"/>
    <xf numFmtId="0" fontId="3" fillId="0" borderId="1" xfId="0" applyFont="1" applyBorder="1"/>
    <xf numFmtId="0" fontId="13" fillId="0" borderId="0" xfId="0" applyFont="1" applyAlignment="1">
      <alignment horizontal="center" vertical="center" wrapText="1"/>
    </xf>
    <xf numFmtId="3" fontId="13" fillId="0" borderId="0" xfId="0" applyNumberFormat="1" applyFont="1" applyAlignment="1">
      <alignment horizontal="center" vertical="center" wrapText="1"/>
    </xf>
    <xf numFmtId="0" fontId="13" fillId="0" borderId="1" xfId="0" applyFont="1" applyBorder="1" applyAlignment="1">
      <alignment horizontal="left" vertical="center" wrapText="1"/>
    </xf>
    <xf numFmtId="3" fontId="0" fillId="0" borderId="0" xfId="0" applyNumberFormat="1"/>
    <xf numFmtId="0" fontId="11"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34" fillId="0" borderId="1" xfId="0" applyFont="1" applyBorder="1" applyAlignment="1">
      <alignment horizontal="center" vertical="center"/>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3" fontId="10" fillId="0" borderId="1" xfId="0" applyNumberFormat="1" applyFont="1" applyBorder="1" applyAlignment="1">
      <alignment horizontal="center" vertical="center" wrapText="1"/>
    </xf>
    <xf numFmtId="3" fontId="26" fillId="0" borderId="3" xfId="0" applyNumberFormat="1" applyFont="1" applyBorder="1" applyAlignment="1">
      <alignment vertical="center"/>
    </xf>
    <xf numFmtId="3" fontId="26" fillId="0" borderId="5" xfId="0" applyNumberFormat="1" applyFont="1" applyBorder="1" applyAlignment="1">
      <alignment horizontal="center" vertical="center" wrapText="1"/>
    </xf>
    <xf numFmtId="0" fontId="38" fillId="0" borderId="1" xfId="0" applyFont="1" applyBorder="1" applyAlignment="1">
      <alignment horizontal="center" vertical="center" wrapText="1"/>
    </xf>
    <xf numFmtId="166" fontId="32" fillId="0" borderId="0" xfId="0" applyNumberFormat="1" applyFont="1" applyAlignment="1">
      <alignment vertical="center" wrapText="1"/>
    </xf>
    <xf numFmtId="0" fontId="39" fillId="0" borderId="0" xfId="0" applyFont="1"/>
    <xf numFmtId="0" fontId="14" fillId="0" borderId="0" xfId="0" applyFont="1" applyAlignment="1">
      <alignment horizontal="left" vertical="center"/>
    </xf>
    <xf numFmtId="0" fontId="12"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26" fillId="3" borderId="1" xfId="0" applyFont="1" applyFill="1" applyBorder="1" applyAlignment="1">
      <alignment horizontal="center" vertical="center" wrapText="1"/>
    </xf>
    <xf numFmtId="0" fontId="26" fillId="3" borderId="1" xfId="0" applyFont="1" applyFill="1" applyBorder="1" applyAlignment="1">
      <alignment vertical="center" wrapText="1"/>
    </xf>
    <xf numFmtId="0" fontId="33" fillId="0" borderId="1" xfId="0" applyFont="1" applyBorder="1" applyAlignment="1">
      <alignment horizontal="center" vertical="center" wrapText="1"/>
    </xf>
    <xf numFmtId="0" fontId="33" fillId="3" borderId="1" xfId="0" applyFont="1" applyFill="1" applyBorder="1" applyAlignment="1">
      <alignment horizontal="center" vertical="center" wrapText="1"/>
    </xf>
    <xf numFmtId="0" fontId="33" fillId="3" borderId="1" xfId="0" applyFont="1" applyFill="1" applyBorder="1" applyAlignment="1">
      <alignment vertical="center" wrapText="1"/>
    </xf>
    <xf numFmtId="0" fontId="27" fillId="3" borderId="1" xfId="0" applyFont="1" applyFill="1" applyBorder="1"/>
    <xf numFmtId="0" fontId="33" fillId="3" borderId="0" xfId="0" applyFont="1" applyFill="1" applyAlignment="1">
      <alignment horizontal="center" vertical="center" wrapText="1"/>
    </xf>
    <xf numFmtId="0" fontId="33" fillId="3" borderId="0" xfId="0" applyFont="1" applyFill="1" applyAlignment="1">
      <alignment vertical="center" wrapText="1"/>
    </xf>
    <xf numFmtId="0" fontId="26" fillId="3" borderId="0" xfId="0" applyFont="1" applyFill="1" applyAlignment="1">
      <alignment horizontal="center" vertical="center" wrapText="1"/>
    </xf>
    <xf numFmtId="0" fontId="12" fillId="0" borderId="1" xfId="0" applyFont="1" applyBorder="1" applyAlignment="1">
      <alignment horizontal="left" vertical="center" wrapText="1"/>
    </xf>
    <xf numFmtId="0" fontId="18" fillId="0" borderId="18"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1" xfId="0" applyFont="1" applyBorder="1" applyAlignment="1">
      <alignment vertical="center" wrapText="1"/>
    </xf>
    <xf numFmtId="0" fontId="26" fillId="0" borderId="16" xfId="0" applyFont="1" applyBorder="1" applyAlignment="1">
      <alignment horizontal="center" vertical="center" wrapText="1"/>
    </xf>
    <xf numFmtId="0" fontId="26" fillId="0" borderId="2" xfId="0" applyFont="1" applyBorder="1" applyAlignment="1">
      <alignment vertical="center" wrapText="1"/>
    </xf>
    <xf numFmtId="0" fontId="26" fillId="0" borderId="2" xfId="0" applyFont="1" applyBorder="1" applyAlignment="1">
      <alignment horizontal="center" vertical="center" wrapText="1"/>
    </xf>
    <xf numFmtId="0" fontId="26" fillId="0" borderId="6" xfId="0" applyFont="1" applyBorder="1" applyAlignment="1">
      <alignment vertical="center" wrapText="1"/>
    </xf>
    <xf numFmtId="0" fontId="26" fillId="0" borderId="6" xfId="0" applyFont="1" applyBorder="1" applyAlignment="1">
      <alignment horizontal="center" vertical="center" wrapText="1"/>
    </xf>
    <xf numFmtId="0" fontId="14" fillId="0" borderId="1" xfId="0" applyFont="1" applyBorder="1" applyAlignment="1">
      <alignment horizontal="center" vertical="center" wrapText="1"/>
    </xf>
    <xf numFmtId="0" fontId="25" fillId="0" borderId="1" xfId="0" applyFont="1" applyBorder="1" applyAlignment="1">
      <alignment horizontal="left" vertical="center" wrapText="1"/>
    </xf>
    <xf numFmtId="0" fontId="42" fillId="0" borderId="1" xfId="0" applyFont="1" applyBorder="1" applyAlignment="1">
      <alignment vertical="center" wrapText="1"/>
    </xf>
    <xf numFmtId="0" fontId="42"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8" fillId="0" borderId="5" xfId="0" applyFont="1" applyBorder="1" applyAlignment="1">
      <alignment vertical="center"/>
    </xf>
    <xf numFmtId="0" fontId="43" fillId="0" borderId="1" xfId="0" applyFont="1" applyBorder="1" applyAlignment="1">
      <alignment horizontal="center" vertical="center" wrapText="1"/>
    </xf>
    <xf numFmtId="0" fontId="34" fillId="0" borderId="0" xfId="0" applyFont="1"/>
    <xf numFmtId="0" fontId="46" fillId="0" borderId="1" xfId="0" applyFont="1" applyBorder="1" applyAlignment="1">
      <alignment horizontal="center" vertical="center" wrapText="1"/>
    </xf>
    <xf numFmtId="0" fontId="31" fillId="0" borderId="1" xfId="0" applyFont="1" applyBorder="1" applyAlignment="1">
      <alignment vertical="center" wrapText="1"/>
    </xf>
    <xf numFmtId="0" fontId="46" fillId="0" borderId="1" xfId="0" applyFont="1" applyBorder="1" applyAlignment="1">
      <alignment vertical="center" wrapText="1"/>
    </xf>
    <xf numFmtId="3" fontId="46" fillId="0" borderId="1" xfId="0" applyNumberFormat="1" applyFont="1" applyBorder="1" applyAlignment="1">
      <alignment vertical="center" wrapText="1"/>
    </xf>
    <xf numFmtId="2" fontId="47" fillId="0" borderId="1" xfId="0" applyNumberFormat="1" applyFont="1" applyBorder="1" applyAlignment="1">
      <alignment horizontal="center" vertical="center" wrapText="1"/>
    </xf>
    <xf numFmtId="3" fontId="46" fillId="0" borderId="1" xfId="0" applyNumberFormat="1" applyFont="1" applyBorder="1" applyAlignment="1">
      <alignment horizontal="right" vertical="center" wrapText="1"/>
    </xf>
    <xf numFmtId="0" fontId="46" fillId="0" borderId="1" xfId="0" applyFont="1" applyBorder="1" applyAlignment="1">
      <alignment horizontal="justify" vertical="center" wrapText="1"/>
    </xf>
    <xf numFmtId="0" fontId="46" fillId="0" borderId="6" xfId="0" applyFont="1" applyBorder="1" applyAlignment="1">
      <alignment vertical="center"/>
    </xf>
    <xf numFmtId="0" fontId="44" fillId="0" borderId="1" xfId="0" applyFont="1" applyBorder="1" applyAlignment="1">
      <alignment vertical="center"/>
    </xf>
    <xf numFmtId="0" fontId="46" fillId="0" borderId="1" xfId="0" applyFont="1" applyBorder="1" applyAlignment="1">
      <alignment vertical="center"/>
    </xf>
    <xf numFmtId="0" fontId="46" fillId="0" borderId="1" xfId="0" applyFont="1" applyBorder="1" applyAlignment="1">
      <alignment horizontal="center" vertical="center"/>
    </xf>
    <xf numFmtId="3" fontId="44" fillId="0" borderId="1" xfId="3" applyNumberFormat="1" applyFont="1" applyFill="1" applyBorder="1" applyAlignment="1">
      <alignment horizontal="center" vertical="center"/>
    </xf>
    <xf numFmtId="3" fontId="44" fillId="0" borderId="1" xfId="0" applyNumberFormat="1" applyFont="1" applyBorder="1" applyAlignment="1">
      <alignment horizontal="right" vertical="center"/>
    </xf>
    <xf numFmtId="0" fontId="34" fillId="0" borderId="1" xfId="0" applyFont="1" applyBorder="1"/>
    <xf numFmtId="3" fontId="44" fillId="0" borderId="0" xfId="0" applyNumberFormat="1" applyFont="1" applyAlignment="1">
      <alignment horizontal="right" vertical="center"/>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3" fontId="47" fillId="0" borderId="1" xfId="0" applyNumberFormat="1" applyFont="1" applyBorder="1" applyAlignment="1">
      <alignment horizontal="center" vertical="center" wrapText="1"/>
    </xf>
    <xf numFmtId="3" fontId="50" fillId="0" borderId="1" xfId="0" applyNumberFormat="1" applyFont="1" applyBorder="1" applyAlignment="1">
      <alignment horizontal="center" vertical="center" wrapText="1"/>
    </xf>
    <xf numFmtId="0" fontId="51" fillId="0" borderId="0" xfId="0" applyFont="1"/>
    <xf numFmtId="4" fontId="49" fillId="0" borderId="1" xfId="0" applyNumberFormat="1" applyFont="1" applyBorder="1" applyAlignment="1">
      <alignment horizontal="center" vertical="center" wrapText="1"/>
    </xf>
    <xf numFmtId="0" fontId="31" fillId="0" borderId="1" xfId="0" applyFont="1" applyBorder="1" applyAlignment="1">
      <alignment horizontal="left" vertical="center" wrapText="1"/>
    </xf>
    <xf numFmtId="3" fontId="49" fillId="0" borderId="1" xfId="0" applyNumberFormat="1"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vertical="center"/>
    </xf>
    <xf numFmtId="0" fontId="14" fillId="0" borderId="1" xfId="0" applyFont="1" applyBorder="1" applyAlignment="1">
      <alignment horizontal="left" vertical="center" wrapText="1"/>
    </xf>
    <xf numFmtId="3" fontId="10" fillId="2" borderId="6" xfId="0" applyNumberFormat="1" applyFont="1" applyFill="1" applyBorder="1" applyAlignment="1">
      <alignment horizontal="center" vertical="center" wrapText="1"/>
    </xf>
    <xf numFmtId="3" fontId="10" fillId="2" borderId="1"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20" fillId="0" borderId="10" xfId="0" applyFont="1" applyBorder="1" applyAlignment="1">
      <alignment horizontal="center" vertical="center" wrapText="1"/>
    </xf>
    <xf numFmtId="0" fontId="52" fillId="3" borderId="19" xfId="0" applyFont="1" applyFill="1" applyBorder="1" applyAlignment="1">
      <alignment horizontal="right" vertical="center" wrapText="1"/>
    </xf>
    <xf numFmtId="0" fontId="52" fillId="3" borderId="19" xfId="0" applyFont="1" applyFill="1" applyBorder="1" applyAlignment="1">
      <alignment vertical="center" wrapText="1"/>
    </xf>
    <xf numFmtId="0" fontId="54" fillId="3" borderId="1" xfId="0" applyFont="1" applyFill="1" applyBorder="1" applyAlignment="1">
      <alignment horizontal="center" vertical="center" wrapText="1"/>
    </xf>
    <xf numFmtId="0" fontId="55" fillId="0" borderId="0" xfId="0" applyFont="1"/>
    <xf numFmtId="0" fontId="55" fillId="5" borderId="0" xfId="0" applyFont="1" applyFill="1" applyAlignment="1">
      <alignment vertical="center"/>
    </xf>
    <xf numFmtId="0" fontId="55" fillId="0" borderId="1" xfId="0" applyFont="1" applyBorder="1"/>
    <xf numFmtId="0" fontId="55" fillId="0" borderId="0" xfId="0" applyFont="1" applyAlignment="1">
      <alignment horizontal="center" vertical="center"/>
    </xf>
    <xf numFmtId="0" fontId="54" fillId="3" borderId="3" xfId="0" applyFont="1" applyFill="1" applyBorder="1" applyAlignment="1">
      <alignment horizontal="center" vertical="center" wrapText="1"/>
    </xf>
    <xf numFmtId="0" fontId="55" fillId="0" borderId="1" xfId="0" applyFont="1" applyBorder="1" applyAlignment="1">
      <alignment horizontal="center" vertical="center"/>
    </xf>
    <xf numFmtId="0" fontId="55" fillId="7" borderId="0" xfId="0" applyFont="1" applyFill="1"/>
    <xf numFmtId="0" fontId="14" fillId="0" borderId="16" xfId="0" applyFont="1" applyBorder="1" applyAlignment="1">
      <alignment horizontal="center" vertical="center"/>
    </xf>
    <xf numFmtId="3" fontId="14" fillId="0" borderId="1" xfId="0" applyNumberFormat="1" applyFont="1" applyBorder="1" applyAlignment="1">
      <alignment horizontal="center" vertical="center"/>
    </xf>
    <xf numFmtId="0" fontId="14" fillId="7" borderId="0" xfId="0" applyFont="1" applyFill="1" applyAlignment="1">
      <alignment horizontal="center" vertical="center"/>
    </xf>
    <xf numFmtId="0" fontId="14" fillId="7" borderId="0" xfId="0" applyFont="1" applyFill="1"/>
    <xf numFmtId="0" fontId="14" fillId="7" borderId="1" xfId="0" applyFont="1" applyFill="1" applyBorder="1" applyAlignment="1">
      <alignment horizontal="center" vertical="center"/>
    </xf>
    <xf numFmtId="0" fontId="14" fillId="7" borderId="1" xfId="0" applyFont="1" applyFill="1" applyBorder="1" applyAlignment="1">
      <alignment vertical="center" wrapText="1"/>
    </xf>
    <xf numFmtId="0" fontId="14" fillId="7" borderId="1" xfId="0" applyFont="1" applyFill="1" applyBorder="1"/>
    <xf numFmtId="3" fontId="11" fillId="7" borderId="0" xfId="0" applyNumberFormat="1" applyFont="1" applyFill="1" applyAlignment="1">
      <alignment horizontal="center" vertical="center"/>
    </xf>
    <xf numFmtId="0" fontId="51" fillId="0" borderId="1" xfId="0" applyFont="1" applyBorder="1"/>
    <xf numFmtId="3" fontId="11" fillId="0" borderId="1" xfId="0" applyNumberFormat="1" applyFont="1" applyBorder="1" applyAlignment="1">
      <alignment horizontal="center" vertical="center"/>
    </xf>
    <xf numFmtId="0" fontId="18" fillId="2" borderId="3"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0" xfId="0" applyFont="1" applyFill="1" applyAlignment="1">
      <alignment horizontal="center" vertical="center" wrapText="1"/>
    </xf>
    <xf numFmtId="0" fontId="19"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0" xfId="0" applyFont="1" applyBorder="1" applyAlignment="1">
      <alignment horizontal="center" vertical="center" wrapText="1"/>
    </xf>
    <xf numFmtId="0" fontId="18"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4" fillId="0" borderId="0" xfId="0" applyFont="1" applyAlignment="1">
      <alignment horizontal="left" wrapText="1"/>
    </xf>
    <xf numFmtId="0" fontId="13" fillId="0" borderId="1" xfId="0" applyFont="1" applyBorder="1" applyAlignment="1">
      <alignment horizontal="center" vertical="center" wrapText="1"/>
    </xf>
    <xf numFmtId="0" fontId="11" fillId="0" borderId="9"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xf>
    <xf numFmtId="0" fontId="11" fillId="0" borderId="17" xfId="0" applyFont="1" applyBorder="1" applyAlignment="1">
      <alignment horizontal="center" vertical="center"/>
    </xf>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0" xfId="0" applyFont="1" applyAlignment="1">
      <alignment horizontal="center" vertical="center" wrapText="1"/>
    </xf>
    <xf numFmtId="0" fontId="14" fillId="0" borderId="1" xfId="0" applyFont="1" applyBorder="1" applyAlignment="1">
      <alignment horizontal="center" vertical="center"/>
    </xf>
    <xf numFmtId="0" fontId="26" fillId="3" borderId="1" xfId="0" applyFont="1" applyFill="1" applyBorder="1" applyAlignment="1">
      <alignment horizontal="center" vertical="center" wrapText="1"/>
    </xf>
    <xf numFmtId="0" fontId="11" fillId="0" borderId="0" xfId="0" applyFont="1" applyAlignment="1">
      <alignment horizontal="center" vertical="center"/>
    </xf>
    <xf numFmtId="0" fontId="33"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33" fillId="3" borderId="1" xfId="0" applyFont="1" applyFill="1" applyBorder="1" applyAlignment="1">
      <alignment horizontal="center" vertical="center" wrapText="1"/>
    </xf>
    <xf numFmtId="0" fontId="40"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1" fillId="7" borderId="3" xfId="0" applyFont="1" applyFill="1" applyBorder="1" applyAlignment="1">
      <alignment horizontal="center" vertical="center"/>
    </xf>
    <xf numFmtId="0" fontId="11" fillId="7" borderId="4" xfId="0" applyFont="1" applyFill="1" applyBorder="1" applyAlignment="1">
      <alignment horizontal="center" vertical="center"/>
    </xf>
    <xf numFmtId="0" fontId="18" fillId="0" borderId="2"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8" fillId="0" borderId="2"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8" fillId="0" borderId="8" xfId="1" applyFont="1" applyBorder="1" applyAlignment="1">
      <alignment horizontal="center" vertical="center" wrapText="1"/>
    </xf>
    <xf numFmtId="0" fontId="22" fillId="0" borderId="1"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5" xfId="0" applyFont="1" applyBorder="1" applyAlignment="1">
      <alignment horizontal="center" vertical="center" wrapText="1"/>
    </xf>
    <xf numFmtId="0" fontId="34" fillId="0" borderId="1" xfId="0" applyFont="1" applyBorder="1" applyAlignment="1">
      <alignment horizontal="center"/>
    </xf>
    <xf numFmtId="0" fontId="4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1"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0" xfId="0" applyFont="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6" xfId="0" applyFont="1" applyBorder="1" applyAlignment="1">
      <alignment horizontal="center" vertical="center" wrapText="1"/>
    </xf>
    <xf numFmtId="0" fontId="44" fillId="0" borderId="0" xfId="0" applyFont="1" applyAlignment="1">
      <alignment horizontal="center" vertical="center" wrapText="1"/>
    </xf>
    <xf numFmtId="0" fontId="4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44" fillId="0" borderId="1" xfId="0" applyFont="1" applyBorder="1" applyAlignment="1">
      <alignment horizontal="center" vertical="top" wrapText="1"/>
    </xf>
    <xf numFmtId="0" fontId="34" fillId="0" borderId="1" xfId="0" applyFont="1" applyBorder="1" applyAlignment="1">
      <alignment horizontal="center" vertical="top" wrapText="1"/>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48" fillId="0" borderId="1"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10" xfId="0" applyFont="1" applyBorder="1" applyAlignment="1">
      <alignment horizontal="center" vertical="center" wrapText="1"/>
    </xf>
    <xf numFmtId="0" fontId="6" fillId="0" borderId="0" xfId="0" applyFont="1" applyAlignment="1">
      <alignment horizontal="left" vertical="center"/>
    </xf>
    <xf numFmtId="0" fontId="13" fillId="0" borderId="0" xfId="0" applyFont="1" applyAlignment="1">
      <alignment horizontal="left"/>
    </xf>
    <xf numFmtId="0" fontId="5" fillId="0" borderId="0" xfId="0" applyFont="1" applyAlignment="1">
      <alignment horizontal="center" vertical="center"/>
    </xf>
    <xf numFmtId="0" fontId="13" fillId="0" borderId="0" xfId="0" applyFont="1"/>
    <xf numFmtId="0" fontId="30" fillId="0" borderId="0" xfId="0" applyFont="1" applyAlignment="1">
      <alignment horizontal="left"/>
    </xf>
    <xf numFmtId="0" fontId="2" fillId="0" borderId="0" xfId="0" applyFont="1" applyAlignment="1">
      <alignment horizontal="center" vertical="center"/>
    </xf>
    <xf numFmtId="0" fontId="8" fillId="0" borderId="1" xfId="0" applyFont="1" applyBorder="1" applyAlignment="1">
      <alignment horizontal="center" vertical="center"/>
    </xf>
    <xf numFmtId="0" fontId="2" fillId="0" borderId="8" xfId="0" applyFont="1" applyBorder="1" applyAlignment="1">
      <alignment horizontal="center"/>
    </xf>
    <xf numFmtId="0" fontId="55" fillId="5" borderId="8" xfId="0" applyFont="1" applyFill="1" applyBorder="1" applyAlignment="1">
      <alignment horizontal="center" vertical="center" wrapText="1"/>
    </xf>
    <xf numFmtId="0" fontId="55" fillId="5" borderId="8" xfId="0" applyFont="1" applyFill="1" applyBorder="1" applyAlignment="1">
      <alignment horizontal="center" vertical="center"/>
    </xf>
    <xf numFmtId="0" fontId="55" fillId="5" borderId="0" xfId="0" applyFont="1" applyFill="1" applyAlignment="1">
      <alignment horizontal="center" vertical="center"/>
    </xf>
    <xf numFmtId="0" fontId="52" fillId="3" borderId="1" xfId="0" applyFont="1" applyFill="1" applyBorder="1" applyAlignment="1">
      <alignment horizontal="center" vertical="center" wrapText="1"/>
    </xf>
    <xf numFmtId="0" fontId="52" fillId="3" borderId="3" xfId="0" applyFont="1" applyFill="1" applyBorder="1" applyAlignment="1">
      <alignment horizontal="center" vertical="center" wrapText="1"/>
    </xf>
    <xf numFmtId="0" fontId="53" fillId="5" borderId="3" xfId="0" applyFont="1" applyFill="1" applyBorder="1" applyAlignment="1">
      <alignment horizontal="center" vertical="center"/>
    </xf>
    <xf numFmtId="0" fontId="53" fillId="5" borderId="4" xfId="0" applyFont="1" applyFill="1" applyBorder="1" applyAlignment="1">
      <alignment horizontal="center" vertical="center"/>
    </xf>
    <xf numFmtId="0" fontId="56" fillId="5" borderId="3" xfId="0" applyFont="1" applyFill="1" applyBorder="1" applyAlignment="1">
      <alignment horizontal="center" vertical="center"/>
    </xf>
    <xf numFmtId="0" fontId="56" fillId="5" borderId="4" xfId="0" applyFont="1" applyFill="1" applyBorder="1" applyAlignment="1">
      <alignment horizontal="center" vertical="center"/>
    </xf>
    <xf numFmtId="0" fontId="56" fillId="5" borderId="7" xfId="0" applyFont="1" applyFill="1" applyBorder="1" applyAlignment="1">
      <alignment horizontal="center" vertical="center"/>
    </xf>
    <xf numFmtId="43" fontId="17" fillId="0" borderId="0" xfId="6" applyFont="1"/>
  </cellXfs>
  <cellStyles count="7">
    <cellStyle name="Comma" xfId="6" builtinId="3"/>
    <cellStyle name="Comma 2" xfId="3" xr:uid="{00000000-0005-0000-0000-000000000000}"/>
    <cellStyle name="Ledger 17 x 11 in" xfId="2" xr:uid="{00000000-0005-0000-0000-000001000000}"/>
    <cellStyle name="Normal" xfId="0" builtinId="0"/>
    <cellStyle name="Normal 2" xfId="1" xr:uid="{00000000-0005-0000-0000-000003000000}"/>
    <cellStyle name="Normal 5 2" xfId="5" xr:uid="{2F951D00-2F69-49DD-A06C-9B5A57B7E1F1}"/>
    <cellStyle name="Normal 7" xfId="4" xr:uid="{C7E41671-FCA7-43CF-9A99-7AF498FFE2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E6392-A008-43F7-AAD7-74F15E54CCE9}">
  <dimension ref="A2:R12"/>
  <sheetViews>
    <sheetView zoomScale="85" zoomScaleNormal="85" workbookViewId="0">
      <selection activeCell="I21" sqref="I21"/>
    </sheetView>
  </sheetViews>
  <sheetFormatPr defaultColWidth="9.125" defaultRowHeight="12.75" x14ac:dyDescent="0.2"/>
  <cols>
    <col min="1" max="1" width="5.5" style="27" customWidth="1"/>
    <col min="2" max="2" width="31.625" style="27" customWidth="1"/>
    <col min="3" max="8" width="10" style="27" customWidth="1"/>
    <col min="9" max="10" width="8.625" style="27" customWidth="1"/>
    <col min="11" max="12" width="10" style="27" customWidth="1"/>
    <col min="13" max="13" width="9.375" style="27" customWidth="1"/>
    <col min="14" max="16" width="10" style="27" customWidth="1"/>
    <col min="17" max="17" width="11.5" style="27" customWidth="1"/>
    <col min="18" max="18" width="12.375" style="27" customWidth="1"/>
    <col min="19" max="16384" width="9.125" style="27"/>
  </cols>
  <sheetData>
    <row r="2" spans="1:18" ht="26.25" customHeight="1" x14ac:dyDescent="0.2">
      <c r="A2" s="241" t="s">
        <v>126</v>
      </c>
      <c r="B2" s="241"/>
      <c r="C2" s="241"/>
      <c r="D2" s="241"/>
      <c r="E2" s="241"/>
      <c r="F2" s="241"/>
      <c r="G2" s="241"/>
      <c r="H2" s="241"/>
      <c r="I2" s="241"/>
      <c r="J2" s="241"/>
      <c r="K2" s="241"/>
      <c r="L2" s="241"/>
      <c r="M2" s="241"/>
      <c r="N2" s="241"/>
      <c r="O2" s="241"/>
      <c r="P2" s="241"/>
    </row>
    <row r="4" spans="1:18" ht="40.5" customHeight="1" x14ac:dyDescent="0.2">
      <c r="A4" s="242" t="s">
        <v>0</v>
      </c>
      <c r="B4" s="243" t="s">
        <v>1</v>
      </c>
      <c r="C4" s="239" t="s">
        <v>106</v>
      </c>
      <c r="D4" s="240"/>
      <c r="E4" s="239" t="s">
        <v>107</v>
      </c>
      <c r="F4" s="240"/>
      <c r="G4" s="239" t="s">
        <v>108</v>
      </c>
      <c r="H4" s="240"/>
      <c r="I4" s="245" t="s">
        <v>109</v>
      </c>
      <c r="J4" s="245"/>
      <c r="K4" s="239" t="s">
        <v>110</v>
      </c>
      <c r="L4" s="240"/>
      <c r="M4" s="239" t="s">
        <v>111</v>
      </c>
      <c r="N4" s="240"/>
      <c r="O4" s="239" t="s">
        <v>133</v>
      </c>
      <c r="P4" s="240"/>
      <c r="Q4" s="239" t="s">
        <v>132</v>
      </c>
      <c r="R4" s="240"/>
    </row>
    <row r="5" spans="1:18" ht="47.25" customHeight="1" x14ac:dyDescent="0.2">
      <c r="A5" s="242"/>
      <c r="B5" s="244"/>
      <c r="C5" s="25" t="s">
        <v>117</v>
      </c>
      <c r="D5" s="25" t="s">
        <v>13</v>
      </c>
      <c r="E5" s="25" t="s">
        <v>117</v>
      </c>
      <c r="F5" s="26" t="s">
        <v>13</v>
      </c>
      <c r="G5" s="25" t="s">
        <v>117</v>
      </c>
      <c r="H5" s="25" t="s">
        <v>13</v>
      </c>
      <c r="I5" s="26" t="s">
        <v>117</v>
      </c>
      <c r="J5" s="26" t="s">
        <v>13</v>
      </c>
      <c r="K5" s="25" t="s">
        <v>117</v>
      </c>
      <c r="L5" s="25" t="s">
        <v>13</v>
      </c>
      <c r="M5" s="25" t="s">
        <v>117</v>
      </c>
      <c r="N5" s="25" t="s">
        <v>13</v>
      </c>
      <c r="O5" s="25" t="s">
        <v>117</v>
      </c>
      <c r="P5" s="25" t="s">
        <v>13</v>
      </c>
      <c r="Q5" s="25" t="s">
        <v>117</v>
      </c>
      <c r="R5" s="25" t="s">
        <v>13</v>
      </c>
    </row>
    <row r="6" spans="1:18" ht="48" customHeight="1" x14ac:dyDescent="0.2">
      <c r="A6" s="28">
        <v>1</v>
      </c>
      <c r="B6" s="22" t="s">
        <v>119</v>
      </c>
      <c r="C6" s="29" t="e">
        <f>'Lao đông'!#REF!+'Lao đông'!#REF!</f>
        <v>#REF!</v>
      </c>
      <c r="D6" s="29" t="e">
        <f>'Lao đông'!#REF!+'Lao đông'!#REF!</f>
        <v>#REF!</v>
      </c>
      <c r="E6" s="29" t="e">
        <f>'Dụng cụ'!#REF!+'Dụng cụ'!#REF!</f>
        <v>#REF!</v>
      </c>
      <c r="F6" s="29" t="e">
        <f>'Dụng cụ'!#REF!+'Dụng cụ'!#REF!</f>
        <v>#REF!</v>
      </c>
      <c r="G6" s="29">
        <f>'Thiết bị'!Q23+'Thiết bị'!R23</f>
        <v>25676.711722198415</v>
      </c>
      <c r="H6" s="29">
        <f>'Thiết bị'!S23+'Thiết bị'!T23</f>
        <v>20188.922988000002</v>
      </c>
      <c r="I6" s="29">
        <f>'Vật liệu'!L29+'Vật liệu'!M29</f>
        <v>233639.291</v>
      </c>
      <c r="J6" s="29">
        <f>'Vật liệu'!N29+'Vật liệu'!O29</f>
        <v>234998.568</v>
      </c>
      <c r="K6" s="29" t="e">
        <f>C6+E6+G6+$I6</f>
        <v>#REF!</v>
      </c>
      <c r="L6" s="29" t="e">
        <f>D6+F6+H6+J6</f>
        <v>#REF!</v>
      </c>
      <c r="M6" s="29" t="e">
        <f>15%*('Lao đông'!P32+'Dụng cụ'!#REF!+'Thiết bị'!Q23+'Vật liệu'!L29)+20%*('Lao đông'!S32+'Dụng cụ'!#REF!+'Thiết bị'!R23+'Vật liệu'!M29)</f>
        <v>#REF!</v>
      </c>
      <c r="N6" s="29" t="e">
        <f>15%*('Lao đông'!T32+'Dụng cụ'!#REF!+'Thiết bị'!S23+'Vật liệu'!N29)+20%*('Lao đông'!U32+'Dụng cụ'!#REF!+'Thiết bị'!T23+'Vật liệu'!O29)</f>
        <v>#REF!</v>
      </c>
      <c r="O6" s="29" t="e">
        <f>Q6-E6</f>
        <v>#REF!</v>
      </c>
      <c r="P6" s="29" t="e">
        <f>R6-F6</f>
        <v>#REF!</v>
      </c>
      <c r="Q6" s="29" t="e">
        <f t="shared" ref="Q6:R10" si="0">K6+M6</f>
        <v>#REF!</v>
      </c>
      <c r="R6" s="29" t="e">
        <f t="shared" si="0"/>
        <v>#REF!</v>
      </c>
    </row>
    <row r="7" spans="1:18" ht="48" customHeight="1" x14ac:dyDescent="0.2">
      <c r="A7" s="28">
        <v>2</v>
      </c>
      <c r="B7" s="22" t="s">
        <v>120</v>
      </c>
      <c r="C7" s="29">
        <f>'Lao đông'!S11+'Lao đông'!T11</f>
        <v>24222463.269230768</v>
      </c>
      <c r="D7" s="29">
        <f>'Lao đông'!U11+'Lao đông'!V11</f>
        <v>19346832.153846152</v>
      </c>
      <c r="E7" s="29">
        <f>'Dụng cụ'!Q36+'Dụng cụ'!R36</f>
        <v>140981.1759</v>
      </c>
      <c r="F7" s="29">
        <f>'Dụng cụ'!S36+'Dụng cụ'!T36</f>
        <v>42495.927781818187</v>
      </c>
      <c r="G7" s="29">
        <f>'Thiết bị'!Q24+'Thiết bị'!R24</f>
        <v>6219.5688650555558</v>
      </c>
      <c r="H7" s="29">
        <f>'Thiết bị'!S24+'Thiết bị'!T24</f>
        <v>3032.969629452381</v>
      </c>
      <c r="I7" s="29">
        <f>'Vật liệu'!L30+'Vật liệu'!M30</f>
        <v>154189.291</v>
      </c>
      <c r="J7" s="29">
        <f>'Vật liệu'!N30+'Vật liệu'!O30</f>
        <v>93317.320999999996</v>
      </c>
      <c r="K7" s="29">
        <f>C7+E7+G7+$I7</f>
        <v>24523853.304995827</v>
      </c>
      <c r="L7" s="29">
        <f t="shared" ref="L7:L10" si="1">D7+F7+H7+J7</f>
        <v>19485678.372257419</v>
      </c>
      <c r="M7" s="29">
        <f>15%*('Lao đông'!P33+'Dụng cụ'!Q36+'Thiết bị'!Q24+'Vật liệu'!L30)+20%*('Lao đông'!S33+'Dụng cụ'!R36+'Thiết bị'!R24+'Vật liệu'!M30)</f>
        <v>2293338.6553647583</v>
      </c>
      <c r="N7" s="29">
        <f>15%*('Lao đông'!T33+'Dụng cụ'!S36+'Thiết bị'!S24+'Vật liệu'!N30)+20%*('Lao đông'!U33+'Dụng cụ'!T36+'Thiết bị'!T24+'Vật liệu'!O30)</f>
        <v>21351.732761690582</v>
      </c>
      <c r="O7" s="29">
        <f t="shared" ref="O7:O11" si="2">Q7-E7</f>
        <v>26676210.784460586</v>
      </c>
      <c r="P7" s="29">
        <f t="shared" ref="P7:P11" si="3">R7-F7</f>
        <v>19464534.177237295</v>
      </c>
      <c r="Q7" s="29">
        <f t="shared" si="0"/>
        <v>26817191.960360587</v>
      </c>
      <c r="R7" s="29">
        <f t="shared" si="0"/>
        <v>19507030.105019111</v>
      </c>
    </row>
    <row r="8" spans="1:18" ht="48" customHeight="1" x14ac:dyDescent="0.2">
      <c r="A8" s="28">
        <v>3</v>
      </c>
      <c r="B8" s="22" t="s">
        <v>121</v>
      </c>
      <c r="C8" s="29">
        <f>'Lao đông'!S16+'Lao đông'!T16</f>
        <v>9128493</v>
      </c>
      <c r="D8" s="29">
        <f>'Lao đông'!U16+'Lao đông'!V16</f>
        <v>4564246.5</v>
      </c>
      <c r="E8" s="29">
        <f>'Dụng cụ'!Q37+'Dụng cụ'!R37</f>
        <v>40270.175900000002</v>
      </c>
      <c r="F8" s="29">
        <f>'Dụng cụ'!S37+'Dụng cụ'!T37</f>
        <v>19197.525063636363</v>
      </c>
      <c r="G8" s="29">
        <f>'Thiết bị'!Q25+'Thiết bị'!R25</f>
        <v>5182.5767392222224</v>
      </c>
      <c r="H8" s="29">
        <f>'Thiết bị'!S25+'Thiết bị'!T25</f>
        <v>5055.5896546666663</v>
      </c>
      <c r="I8" s="29">
        <f>'Vật liệu'!L31+'Vật liệu'!M31</f>
        <v>128481.226</v>
      </c>
      <c r="J8" s="29">
        <f>'Vật liệu'!N31+'Vật liệu'!O31</f>
        <v>155548.568</v>
      </c>
      <c r="K8" s="29">
        <f>C8+E8+G8+$I8</f>
        <v>9302426.9786392208</v>
      </c>
      <c r="L8" s="29">
        <f t="shared" si="1"/>
        <v>4744048.1827183031</v>
      </c>
      <c r="M8" s="29">
        <f>15%*('Lao đông'!P34+'Dụng cụ'!Q37+'Thiết bị'!Q25+'Vật liệu'!L31)+20%*('Lao đông'!S34+'Dụng cụ'!R37+'Thiết bị'!R25+'Vật liệu'!M31)</f>
        <v>1895192.2467958829</v>
      </c>
      <c r="N8" s="29">
        <f>15%*('Lao đông'!T34+'Dụng cụ'!S37+'Thiết bị'!S25+'Vật liệu'!N31)+20%*('Lao đông'!U34+'Dụng cụ'!T37+'Thiết bị'!T25+'Vật liệu'!O31)</f>
        <v>26970.252407745455</v>
      </c>
      <c r="O8" s="29">
        <f t="shared" si="2"/>
        <v>11157349.049535105</v>
      </c>
      <c r="P8" s="29">
        <f t="shared" si="3"/>
        <v>4751820.9100624118</v>
      </c>
      <c r="Q8" s="29">
        <f t="shared" si="0"/>
        <v>11197619.225435104</v>
      </c>
      <c r="R8" s="29">
        <f t="shared" si="0"/>
        <v>4771018.4351260485</v>
      </c>
    </row>
    <row r="9" spans="1:18" ht="48" customHeight="1" x14ac:dyDescent="0.2">
      <c r="A9" s="28">
        <v>4</v>
      </c>
      <c r="B9" s="22" t="s">
        <v>122</v>
      </c>
      <c r="C9" s="29">
        <f>'Lao đông'!S19+'Lao đông'!T19</f>
        <v>7607077.5</v>
      </c>
      <c r="D9" s="29">
        <f>'Lao đông'!U19+'Lao đông'!V19</f>
        <v>7607077.5</v>
      </c>
      <c r="E9" s="29">
        <f>'Dụng cụ'!Q38+'Dụng cụ'!R38</f>
        <v>33555.907399999996</v>
      </c>
      <c r="F9" s="29">
        <f>'Dụng cụ'!S38+'Dụng cụ'!T38</f>
        <v>31999.927781818184</v>
      </c>
      <c r="G9" s="29">
        <f>'Thiết bị'!Q26+'Thiết bị'!R26</f>
        <v>2588.9044796666667</v>
      </c>
      <c r="H9" s="29">
        <f>'Thiết bị'!S26+'Thiết bị'!T26</f>
        <v>2525.8740105952384</v>
      </c>
      <c r="I9" s="29">
        <f>'Vật liệu'!L32+'Vật liệu'!M32</f>
        <v>64181.513999999996</v>
      </c>
      <c r="J9" s="29">
        <f>'Vật liệu'!N32+'Vật liệu'!O32</f>
        <v>77715.184999999998</v>
      </c>
      <c r="K9" s="29">
        <f>C9+E9+G9+$I9</f>
        <v>7707403.825879667</v>
      </c>
      <c r="L9" s="29">
        <f t="shared" si="1"/>
        <v>7719318.4867924135</v>
      </c>
      <c r="M9" s="29">
        <f>15%*('Lao đông'!P35+'Dụng cụ'!Q38+'Thiết bị'!Q26+'Vật liệu'!L32)+20%*('Lao đông'!S35+'Dụng cụ'!R38+'Thiết bị'!R26+'Vật liệu'!M32)</f>
        <v>948740.29888194997</v>
      </c>
      <c r="N9" s="29">
        <f>15%*('Lao đông'!T35+'Dụng cụ'!S38+'Thiết bị'!S26+'Vật liệu'!N32)+20%*('Lao đông'!U35+'Dụng cụ'!T38+'Thiết bị'!T26+'Vật liệu'!O32)</f>
        <v>16836.148018862012</v>
      </c>
      <c r="O9" s="29">
        <f t="shared" si="2"/>
        <v>8622588.217361616</v>
      </c>
      <c r="P9" s="29">
        <f t="shared" si="3"/>
        <v>7704154.7070294572</v>
      </c>
      <c r="Q9" s="29">
        <f t="shared" si="0"/>
        <v>8656144.1247616168</v>
      </c>
      <c r="R9" s="29">
        <f t="shared" si="0"/>
        <v>7736154.6348112756</v>
      </c>
    </row>
    <row r="10" spans="1:18" ht="48" customHeight="1" x14ac:dyDescent="0.2">
      <c r="A10" s="28">
        <v>5</v>
      </c>
      <c r="B10" s="22" t="s">
        <v>23</v>
      </c>
      <c r="C10" s="29">
        <f>'Lao đông'!S23+'Lao đông'!T23</f>
        <v>4200116.25</v>
      </c>
      <c r="D10" s="29">
        <f>'Lao đông'!U23+'Lao đông'!V23</f>
        <v>4200116.25</v>
      </c>
      <c r="E10" s="29">
        <f>'Dụng cụ'!Q39+'Dụng cụ'!R39</f>
        <v>16762.518599999999</v>
      </c>
      <c r="F10" s="29">
        <f>'Dụng cụ'!S39+'Dụng cụ'!T39</f>
        <v>15987.805863636364</v>
      </c>
      <c r="G10" s="29">
        <f>'Thiết bị'!Q27+'Thiết bị'!R27</f>
        <v>43296.042301587309</v>
      </c>
      <c r="H10" s="29">
        <f>'Thiết bị'!S27+'Thiết bị'!T27</f>
        <v>34341.500714285721</v>
      </c>
      <c r="I10" s="29">
        <f>'Vật liệu'!L33+'Vật liệu'!M33</f>
        <v>670440</v>
      </c>
      <c r="J10" s="29">
        <f>'Vật liệu'!N33+'Vật liệu'!O33</f>
        <v>670440</v>
      </c>
      <c r="K10" s="29">
        <f>C10+E10+G10+$I10</f>
        <v>4930614.8109015878</v>
      </c>
      <c r="L10" s="29">
        <f t="shared" si="1"/>
        <v>4920885.5565779218</v>
      </c>
      <c r="M10" s="29" t="e">
        <f>15%*('Lao đông'!#REF!+'Dụng cụ'!Q39+'Thiết bị'!Q27+'Vật liệu'!L33)+20%*('Lao đông'!#REF!+'Dụng cụ'!R39+'Thiết bị'!R27+'Vật liệu'!M33)</f>
        <v>#REF!</v>
      </c>
      <c r="N10" s="29" t="e">
        <f>15%*('Lao đông'!#REF!+'Dụng cụ'!S39+'Thiết bị'!S27+'Vật liệu'!N33)+20%*('Lao đông'!#REF!+'Dụng cụ'!T39+'Thiết bị'!T27+'Vật liệu'!O33)</f>
        <v>#REF!</v>
      </c>
      <c r="O10" s="29" t="e">
        <f t="shared" si="2"/>
        <v>#REF!</v>
      </c>
      <c r="P10" s="29" t="e">
        <f t="shared" si="3"/>
        <v>#REF!</v>
      </c>
      <c r="Q10" s="29" t="e">
        <f t="shared" si="0"/>
        <v>#REF!</v>
      </c>
      <c r="R10" s="29" t="e">
        <f t="shared" si="0"/>
        <v>#REF!</v>
      </c>
    </row>
    <row r="11" spans="1:18" ht="35.25" customHeight="1" x14ac:dyDescent="0.2">
      <c r="A11" s="30"/>
      <c r="B11" s="30" t="s">
        <v>29</v>
      </c>
      <c r="C11" s="31" t="e">
        <f t="shared" ref="C11:N11" si="4">SUM(C6:C10)</f>
        <v>#REF!</v>
      </c>
      <c r="D11" s="31" t="e">
        <f t="shared" si="4"/>
        <v>#REF!</v>
      </c>
      <c r="E11" s="31" t="e">
        <f t="shared" si="4"/>
        <v>#REF!</v>
      </c>
      <c r="F11" s="31" t="e">
        <f t="shared" si="4"/>
        <v>#REF!</v>
      </c>
      <c r="G11" s="31">
        <f t="shared" si="4"/>
        <v>82963.80410773016</v>
      </c>
      <c r="H11" s="31">
        <f t="shared" si="4"/>
        <v>65144.85699700001</v>
      </c>
      <c r="I11" s="31">
        <f t="shared" si="4"/>
        <v>1250931.3219999999</v>
      </c>
      <c r="J11" s="31">
        <f>SUM(J6:J10)</f>
        <v>1232019.642</v>
      </c>
      <c r="K11" s="31" t="e">
        <f t="shared" si="4"/>
        <v>#REF!</v>
      </c>
      <c r="L11" s="31" t="e">
        <f t="shared" si="4"/>
        <v>#REF!</v>
      </c>
      <c r="M11" s="31" t="e">
        <f t="shared" si="4"/>
        <v>#REF!</v>
      </c>
      <c r="N11" s="31" t="e">
        <f t="shared" si="4"/>
        <v>#REF!</v>
      </c>
      <c r="O11" s="60" t="e">
        <f t="shared" si="2"/>
        <v>#REF!</v>
      </c>
      <c r="P11" s="60" t="e">
        <f t="shared" si="3"/>
        <v>#REF!</v>
      </c>
      <c r="Q11" s="60" t="e">
        <f>SUM(Q6:Q10)</f>
        <v>#REF!</v>
      </c>
      <c r="R11" s="60" t="e">
        <f>SUM(R6:R10)</f>
        <v>#REF!</v>
      </c>
    </row>
    <row r="12" spans="1:18" x14ac:dyDescent="0.2">
      <c r="P12" s="32"/>
    </row>
  </sheetData>
  <mergeCells count="11">
    <mergeCell ref="Q4:R4"/>
    <mergeCell ref="A2:P2"/>
    <mergeCell ref="A4:A5"/>
    <mergeCell ref="B4:B5"/>
    <mergeCell ref="C4:D4"/>
    <mergeCell ref="E4:F4"/>
    <mergeCell ref="G4:H4"/>
    <mergeCell ref="I4:J4"/>
    <mergeCell ref="K4:L4"/>
    <mergeCell ref="M4:N4"/>
    <mergeCell ref="O4:P4"/>
  </mergeCells>
  <pageMargins left="0.32" right="0.28000000000000003" top="0.75" bottom="0.75" header="0.3" footer="0.3"/>
  <pageSetup paperSize="9" scale="85"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C7527-A2FF-4A03-B028-CCEC1D922E96}">
  <dimension ref="A1:F34"/>
  <sheetViews>
    <sheetView tabSelected="1" zoomScale="67" workbookViewId="0">
      <selection activeCell="I20" sqref="I20"/>
    </sheetView>
  </sheetViews>
  <sheetFormatPr defaultColWidth="8.875" defaultRowHeight="15" x14ac:dyDescent="0.25"/>
  <cols>
    <col min="1" max="1" width="23.625" style="222" customWidth="1"/>
    <col min="2" max="2" width="29.875" style="222" customWidth="1"/>
    <col min="3" max="3" width="36.75" style="222" customWidth="1"/>
    <col min="4" max="4" width="33.375" style="225" customWidth="1"/>
    <col min="5" max="5" width="19.875" style="222" customWidth="1"/>
    <col min="6" max="6" width="20.375" style="222" customWidth="1"/>
    <col min="7" max="16384" width="8.875" style="222"/>
  </cols>
  <sheetData>
    <row r="1" spans="1:6" ht="84" customHeight="1" x14ac:dyDescent="0.25">
      <c r="A1" s="323" t="s">
        <v>307</v>
      </c>
      <c r="B1" s="324"/>
      <c r="C1" s="325"/>
      <c r="E1" s="223" t="s">
        <v>310</v>
      </c>
      <c r="F1" s="228">
        <v>12.925000000000001</v>
      </c>
    </row>
    <row r="2" spans="1:6" ht="18.75" x14ac:dyDescent="0.25">
      <c r="A2" s="219" t="s">
        <v>303</v>
      </c>
      <c r="B2" s="326" t="s">
        <v>305</v>
      </c>
      <c r="C2" s="327" t="s">
        <v>306</v>
      </c>
      <c r="D2" s="326" t="s">
        <v>311</v>
      </c>
      <c r="E2" s="326" t="s">
        <v>312</v>
      </c>
    </row>
    <row r="3" spans="1:6" ht="18.75" x14ac:dyDescent="0.25">
      <c r="A3" s="220" t="s">
        <v>304</v>
      </c>
      <c r="B3" s="326"/>
      <c r="C3" s="327"/>
      <c r="D3" s="326"/>
      <c r="E3" s="326"/>
    </row>
    <row r="4" spans="1:6" ht="18.75" x14ac:dyDescent="0.25">
      <c r="A4" s="221">
        <v>0.1</v>
      </c>
      <c r="B4" s="221">
        <v>0.5</v>
      </c>
      <c r="C4" s="226">
        <v>0.6</v>
      </c>
      <c r="D4" s="227">
        <f>ROUND(0.5+((0.65-0.5)/(0.3-0.1))*(F1-0.1),2)</f>
        <v>10.119999999999999</v>
      </c>
      <c r="E4" s="227">
        <f>ROUND(C4+((C5-C4)/(A5-A4))*($F$1-A4),2)</f>
        <v>10.220000000000001</v>
      </c>
    </row>
    <row r="5" spans="1:6" ht="18.75" x14ac:dyDescent="0.25">
      <c r="A5" s="221">
        <v>0.3</v>
      </c>
      <c r="B5" s="221">
        <v>0.65</v>
      </c>
      <c r="C5" s="226">
        <v>0.75</v>
      </c>
      <c r="D5" s="227">
        <f>ROUND(B5+((B6-B5)/(A6-A5))*($F$1-A5),2)</f>
        <v>10.119999999999999</v>
      </c>
      <c r="E5" s="227">
        <f>ROUND(C5+((C6-C5)/(A6-A5))*($F$1-A5),2)</f>
        <v>10.220000000000001</v>
      </c>
    </row>
    <row r="6" spans="1:6" ht="18.75" x14ac:dyDescent="0.25">
      <c r="A6" s="221">
        <v>0.5</v>
      </c>
      <c r="B6" s="221">
        <v>0.8</v>
      </c>
      <c r="C6" s="226">
        <v>0.9</v>
      </c>
      <c r="D6" s="227">
        <f>ROUND(B6+((B7-B6)/(A7-A6))*($F$1-A6),2)</f>
        <v>5.77</v>
      </c>
      <c r="E6" s="227">
        <f t="shared" ref="E6:E14" si="0">ROUND(C6+((C7-C6)/(A7-A6))*($F$1-A6),2)</f>
        <v>5.87</v>
      </c>
    </row>
    <row r="7" spans="1:6" ht="18.75" x14ac:dyDescent="0.25">
      <c r="A7" s="221">
        <v>1</v>
      </c>
      <c r="B7" s="221">
        <v>1</v>
      </c>
      <c r="C7" s="226">
        <v>1.1000000000000001</v>
      </c>
      <c r="D7" s="227">
        <f>ROUND(B7+((B8-B7)/(A8-A7))*($F$1-A7),2)</f>
        <v>2.19</v>
      </c>
      <c r="E7" s="227">
        <f t="shared" si="0"/>
        <v>2.29</v>
      </c>
    </row>
    <row r="8" spans="1:6" ht="18.75" x14ac:dyDescent="0.25">
      <c r="A8" s="221">
        <v>3</v>
      </c>
      <c r="B8" s="221">
        <v>1.2</v>
      </c>
      <c r="C8" s="226">
        <v>1.3</v>
      </c>
      <c r="D8" s="227">
        <f t="shared" ref="D8:D14" si="1">ROUND(B8+((B9-B8)/(A9-A8))*($F$1-A8),2)</f>
        <v>3.19</v>
      </c>
      <c r="E8" s="227">
        <f t="shared" si="0"/>
        <v>3.29</v>
      </c>
    </row>
    <row r="9" spans="1:6" ht="18.75" x14ac:dyDescent="0.25">
      <c r="A9" s="221">
        <v>5</v>
      </c>
      <c r="B9" s="221">
        <v>1.6</v>
      </c>
      <c r="C9" s="226">
        <v>1.7</v>
      </c>
      <c r="D9" s="227">
        <f t="shared" si="1"/>
        <v>2.23</v>
      </c>
      <c r="E9" s="227">
        <f t="shared" si="0"/>
        <v>2.33</v>
      </c>
    </row>
    <row r="10" spans="1:6" ht="18.75" x14ac:dyDescent="0.25">
      <c r="A10" s="221">
        <v>10</v>
      </c>
      <c r="B10" s="221">
        <v>2</v>
      </c>
      <c r="C10" s="226">
        <v>2.1</v>
      </c>
      <c r="D10" s="227">
        <f t="shared" si="1"/>
        <v>2.09</v>
      </c>
      <c r="E10" s="227">
        <f t="shared" si="0"/>
        <v>2.19</v>
      </c>
    </row>
    <row r="11" spans="1:6" ht="18.75" x14ac:dyDescent="0.25">
      <c r="A11" s="221">
        <v>30</v>
      </c>
      <c r="B11" s="221">
        <v>2.6</v>
      </c>
      <c r="C11" s="226">
        <v>2.7</v>
      </c>
      <c r="D11" s="227">
        <f t="shared" si="1"/>
        <v>2.09</v>
      </c>
      <c r="E11" s="227">
        <f t="shared" si="0"/>
        <v>2.19</v>
      </c>
    </row>
    <row r="12" spans="1:6" ht="18.75" x14ac:dyDescent="0.25">
      <c r="A12" s="221">
        <v>50</v>
      </c>
      <c r="B12" s="221">
        <v>3.2</v>
      </c>
      <c r="C12" s="226">
        <v>3.3</v>
      </c>
      <c r="D12" s="227">
        <f t="shared" si="1"/>
        <v>2.61</v>
      </c>
      <c r="E12" s="227">
        <f t="shared" si="0"/>
        <v>2.71</v>
      </c>
    </row>
    <row r="13" spans="1:6" ht="18.75" x14ac:dyDescent="0.25">
      <c r="A13" s="221">
        <v>100</v>
      </c>
      <c r="B13" s="221">
        <v>4</v>
      </c>
      <c r="C13" s="226">
        <v>4.0999999999999996</v>
      </c>
      <c r="D13" s="227">
        <f t="shared" si="1"/>
        <v>3.65</v>
      </c>
      <c r="E13" s="227">
        <f t="shared" si="0"/>
        <v>3.75</v>
      </c>
    </row>
    <row r="14" spans="1:6" ht="18.75" x14ac:dyDescent="0.25">
      <c r="A14" s="221">
        <v>300</v>
      </c>
      <c r="B14" s="221">
        <v>4.8</v>
      </c>
      <c r="C14" s="226">
        <v>4.9000000000000004</v>
      </c>
      <c r="D14" s="227">
        <f t="shared" si="1"/>
        <v>3.36</v>
      </c>
      <c r="E14" s="227">
        <f t="shared" si="0"/>
        <v>3.46</v>
      </c>
    </row>
    <row r="15" spans="1:6" ht="18.75" x14ac:dyDescent="0.25">
      <c r="A15" s="221">
        <v>500</v>
      </c>
      <c r="B15" s="221">
        <v>5.8</v>
      </c>
      <c r="C15" s="226">
        <v>5.9</v>
      </c>
      <c r="D15" s="227">
        <f>B15</f>
        <v>5.8</v>
      </c>
      <c r="E15" s="227">
        <f>C15</f>
        <v>5.9</v>
      </c>
    </row>
    <row r="16" spans="1:6" x14ac:dyDescent="0.25">
      <c r="D16" s="227"/>
      <c r="E16" s="224"/>
    </row>
    <row r="17" spans="1:5" ht="18.75" x14ac:dyDescent="0.25">
      <c r="A17" s="328" t="s">
        <v>308</v>
      </c>
      <c r="B17" s="329"/>
      <c r="C17" s="329"/>
      <c r="D17" s="227"/>
      <c r="E17" s="224"/>
    </row>
    <row r="18" spans="1:5" ht="18.75" x14ac:dyDescent="0.25">
      <c r="A18" s="330" t="s">
        <v>309</v>
      </c>
      <c r="B18" s="331"/>
      <c r="C18" s="332"/>
      <c r="D18" s="227"/>
      <c r="E18" s="224"/>
    </row>
    <row r="19" spans="1:5" ht="18.75" x14ac:dyDescent="0.25">
      <c r="A19" s="219" t="s">
        <v>303</v>
      </c>
      <c r="B19" s="326" t="s">
        <v>305</v>
      </c>
      <c r="C19" s="327" t="s">
        <v>306</v>
      </c>
      <c r="D19" s="326" t="s">
        <v>311</v>
      </c>
      <c r="E19" s="326" t="s">
        <v>312</v>
      </c>
    </row>
    <row r="20" spans="1:5" ht="18.75" x14ac:dyDescent="0.25">
      <c r="A20" s="220" t="s">
        <v>304</v>
      </c>
      <c r="B20" s="326"/>
      <c r="C20" s="327"/>
      <c r="D20" s="326"/>
      <c r="E20" s="326"/>
    </row>
    <row r="21" spans="1:5" ht="18.75" x14ac:dyDescent="0.25">
      <c r="A21" s="221">
        <v>0.1</v>
      </c>
      <c r="B21" s="221">
        <v>0.5</v>
      </c>
      <c r="C21" s="226">
        <v>0.6</v>
      </c>
      <c r="D21" s="227">
        <f>ROUND(B21+((B22-B21)/(A22-A21))*($F$1-A21),2)</f>
        <v>6.91</v>
      </c>
      <c r="E21" s="227">
        <f t="shared" ref="E21:E31" si="2">ROUND(C21+((C22-C21)/(A22-A21))*($F$1-A21),2)</f>
        <v>7.01</v>
      </c>
    </row>
    <row r="22" spans="1:5" ht="18.75" x14ac:dyDescent="0.25">
      <c r="A22" s="221">
        <v>0.3</v>
      </c>
      <c r="B22" s="221">
        <v>0.6</v>
      </c>
      <c r="C22" s="226">
        <v>0.7</v>
      </c>
      <c r="D22" s="227">
        <f>ROUND(B22+((B23-B22)/(A23-A22))*($F$1-A22),2)</f>
        <v>6.91</v>
      </c>
      <c r="E22" s="227">
        <f t="shared" si="2"/>
        <v>7.01</v>
      </c>
    </row>
    <row r="23" spans="1:5" ht="18.75" x14ac:dyDescent="0.25">
      <c r="A23" s="221">
        <v>0.5</v>
      </c>
      <c r="B23" s="221">
        <v>0.7</v>
      </c>
      <c r="C23" s="226">
        <v>0.8</v>
      </c>
      <c r="D23" s="227">
        <f t="shared" ref="D23:D31" si="3">ROUND(B23+((B24-B23)/(A24-A23))*($F$1-A23),2)</f>
        <v>4.43</v>
      </c>
      <c r="E23" s="227">
        <f t="shared" si="2"/>
        <v>4.53</v>
      </c>
    </row>
    <row r="24" spans="1:5" ht="18.75" x14ac:dyDescent="0.25">
      <c r="A24" s="221">
        <v>1</v>
      </c>
      <c r="B24" s="221">
        <v>0.85</v>
      </c>
      <c r="C24" s="226">
        <v>0.95</v>
      </c>
      <c r="D24" s="227">
        <f t="shared" si="3"/>
        <v>1.74</v>
      </c>
      <c r="E24" s="227">
        <f t="shared" si="2"/>
        <v>1.84</v>
      </c>
    </row>
    <row r="25" spans="1:5" ht="18.75" x14ac:dyDescent="0.25">
      <c r="A25" s="221">
        <v>3</v>
      </c>
      <c r="B25" s="221">
        <v>1</v>
      </c>
      <c r="C25" s="226">
        <v>1.1000000000000001</v>
      </c>
      <c r="D25" s="227">
        <f t="shared" si="3"/>
        <v>2.99</v>
      </c>
      <c r="E25" s="227">
        <f t="shared" si="2"/>
        <v>3.09</v>
      </c>
    </row>
    <row r="26" spans="1:5" ht="18.75" x14ac:dyDescent="0.25">
      <c r="A26" s="221">
        <v>5</v>
      </c>
      <c r="B26" s="221">
        <v>1.4</v>
      </c>
      <c r="C26" s="226">
        <v>1.5</v>
      </c>
      <c r="D26" s="227">
        <f t="shared" si="3"/>
        <v>2.0299999999999998</v>
      </c>
      <c r="E26" s="227">
        <f t="shared" si="2"/>
        <v>2.13</v>
      </c>
    </row>
    <row r="27" spans="1:5" ht="18.75" x14ac:dyDescent="0.25">
      <c r="A27" s="221">
        <v>10</v>
      </c>
      <c r="B27" s="221">
        <v>1.8</v>
      </c>
      <c r="C27" s="226">
        <v>1.9</v>
      </c>
      <c r="D27" s="227">
        <f t="shared" si="3"/>
        <v>1.86</v>
      </c>
      <c r="E27" s="227">
        <f t="shared" si="2"/>
        <v>1.96</v>
      </c>
    </row>
    <row r="28" spans="1:5" ht="18.75" x14ac:dyDescent="0.25">
      <c r="A28" s="221">
        <v>30</v>
      </c>
      <c r="B28" s="221">
        <v>2.2000000000000002</v>
      </c>
      <c r="C28" s="226">
        <v>2.2999999999999998</v>
      </c>
      <c r="D28" s="227">
        <f t="shared" si="3"/>
        <v>1.69</v>
      </c>
      <c r="E28" s="227">
        <f t="shared" si="2"/>
        <v>1.79</v>
      </c>
    </row>
    <row r="29" spans="1:5" ht="18.75" x14ac:dyDescent="0.25">
      <c r="A29" s="221">
        <v>50</v>
      </c>
      <c r="B29" s="221">
        <v>2.8</v>
      </c>
      <c r="C29" s="226">
        <v>2.9</v>
      </c>
      <c r="D29" s="227">
        <f t="shared" si="3"/>
        <v>2.36</v>
      </c>
      <c r="E29" s="227">
        <f t="shared" si="2"/>
        <v>2.46</v>
      </c>
    </row>
    <row r="30" spans="1:5" ht="18.75" x14ac:dyDescent="0.25">
      <c r="A30" s="221">
        <v>100</v>
      </c>
      <c r="B30" s="221">
        <v>3.4</v>
      </c>
      <c r="C30" s="226">
        <v>3.5</v>
      </c>
      <c r="D30" s="227">
        <f t="shared" si="3"/>
        <v>3.14</v>
      </c>
      <c r="E30" s="227">
        <f t="shared" si="2"/>
        <v>3.24</v>
      </c>
    </row>
    <row r="31" spans="1:5" ht="18.75" x14ac:dyDescent="0.25">
      <c r="A31" s="221">
        <v>300</v>
      </c>
      <c r="B31" s="221">
        <v>4</v>
      </c>
      <c r="C31" s="226">
        <v>4.0999999999999996</v>
      </c>
      <c r="D31" s="227">
        <f t="shared" si="3"/>
        <v>2.85</v>
      </c>
      <c r="E31" s="227">
        <f t="shared" si="2"/>
        <v>2.95</v>
      </c>
    </row>
    <row r="32" spans="1:5" ht="18.75" x14ac:dyDescent="0.25">
      <c r="A32" s="221">
        <v>500</v>
      </c>
      <c r="B32" s="221">
        <v>4.8</v>
      </c>
      <c r="C32" s="226">
        <v>4.9000000000000004</v>
      </c>
      <c r="D32" s="227">
        <f>B32</f>
        <v>4.8</v>
      </c>
      <c r="E32" s="227">
        <f>C32</f>
        <v>4.9000000000000004</v>
      </c>
    </row>
    <row r="33" spans="4:5" x14ac:dyDescent="0.25">
      <c r="D33" s="227"/>
      <c r="E33" s="224"/>
    </row>
    <row r="34" spans="4:5" x14ac:dyDescent="0.25">
      <c r="D34" s="227"/>
      <c r="E34" s="224"/>
    </row>
  </sheetData>
  <mergeCells count="11">
    <mergeCell ref="D19:D20"/>
    <mergeCell ref="E2:E3"/>
    <mergeCell ref="E19:E20"/>
    <mergeCell ref="D2:D3"/>
    <mergeCell ref="B2:B3"/>
    <mergeCell ref="C2:C3"/>
    <mergeCell ref="A1:C1"/>
    <mergeCell ref="B19:B20"/>
    <mergeCell ref="C19:C20"/>
    <mergeCell ref="A17:C17"/>
    <mergeCell ref="A18:C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H14"/>
  <sheetViews>
    <sheetView topLeftCell="M3" zoomScale="85" zoomScaleNormal="85" workbookViewId="0">
      <selection activeCell="Y19" sqref="Y19"/>
    </sheetView>
  </sheetViews>
  <sheetFormatPr defaultColWidth="9.125" defaultRowHeight="12.75" x14ac:dyDescent="0.2"/>
  <cols>
    <col min="1" max="1" width="5.5" style="27" customWidth="1"/>
    <col min="2" max="2" width="31.625" style="27" customWidth="1"/>
    <col min="3" max="14" width="10" style="27" customWidth="1"/>
    <col min="15" max="18" width="8.625" style="27" customWidth="1"/>
    <col min="19" max="19" width="10.125" style="27" bestFit="1" customWidth="1"/>
    <col min="20" max="20" width="7.125" style="27" bestFit="1" customWidth="1"/>
    <col min="21" max="21" width="9.75" style="27" bestFit="1" customWidth="1"/>
    <col min="22" max="22" width="7.125" style="27" bestFit="1" customWidth="1"/>
    <col min="23" max="23" width="11.875" style="27" bestFit="1" customWidth="1"/>
    <col min="24" max="24" width="11.375" style="27" customWidth="1"/>
    <col min="25" max="25" width="11.25" style="27" bestFit="1" customWidth="1"/>
    <col min="26" max="26" width="11.5" style="27" customWidth="1"/>
    <col min="27" max="28" width="14.5" style="27" customWidth="1"/>
    <col min="29" max="29" width="16.125" style="27" customWidth="1"/>
    <col min="30" max="30" width="17" style="27" customWidth="1"/>
    <col min="31" max="31" width="21.5" style="27" customWidth="1"/>
    <col min="32" max="32" width="18.5" style="27" customWidth="1"/>
    <col min="33" max="33" width="16.625" style="27" customWidth="1"/>
    <col min="34" max="34" width="19.75" style="27" customWidth="1"/>
    <col min="35" max="16384" width="9.125" style="27"/>
  </cols>
  <sheetData>
    <row r="2" spans="1:34" ht="26.25" customHeight="1" x14ac:dyDescent="0.2">
      <c r="A2" s="241" t="s">
        <v>126</v>
      </c>
      <c r="B2" s="241"/>
      <c r="C2" s="241"/>
      <c r="D2" s="241"/>
      <c r="E2" s="241"/>
      <c r="F2" s="241"/>
      <c r="G2" s="241"/>
      <c r="H2" s="241"/>
      <c r="I2" s="241"/>
      <c r="J2" s="241"/>
      <c r="K2" s="241"/>
      <c r="L2" s="241"/>
      <c r="M2" s="241"/>
      <c r="N2" s="241"/>
      <c r="O2" s="241"/>
      <c r="P2" s="241"/>
      <c r="Q2" s="241"/>
      <c r="R2" s="241"/>
      <c r="S2" s="241"/>
      <c r="T2" s="241"/>
      <c r="U2" s="241"/>
      <c r="V2" s="241"/>
      <c r="W2" s="241"/>
      <c r="X2" s="241"/>
      <c r="Y2" s="241"/>
    </row>
    <row r="4" spans="1:34" ht="40.5" customHeight="1" x14ac:dyDescent="0.2">
      <c r="A4" s="242" t="s">
        <v>0</v>
      </c>
      <c r="B4" s="243" t="s">
        <v>1</v>
      </c>
      <c r="C4" s="239" t="s">
        <v>106</v>
      </c>
      <c r="D4" s="249"/>
      <c r="E4" s="249"/>
      <c r="F4" s="240"/>
      <c r="G4" s="239" t="s">
        <v>107</v>
      </c>
      <c r="H4" s="249"/>
      <c r="I4" s="249"/>
      <c r="J4" s="240"/>
      <c r="K4" s="239" t="s">
        <v>108</v>
      </c>
      <c r="L4" s="249"/>
      <c r="M4" s="249"/>
      <c r="N4" s="240"/>
      <c r="O4" s="239" t="s">
        <v>109</v>
      </c>
      <c r="P4" s="249"/>
      <c r="Q4" s="249"/>
      <c r="R4" s="240"/>
      <c r="S4" s="239" t="s">
        <v>249</v>
      </c>
      <c r="T4" s="249"/>
      <c r="U4" s="249"/>
      <c r="V4" s="240"/>
      <c r="W4" s="245" t="s">
        <v>110</v>
      </c>
      <c r="X4" s="245"/>
      <c r="Y4" s="245"/>
      <c r="Z4" s="245"/>
      <c r="AA4" s="245" t="s">
        <v>320</v>
      </c>
      <c r="AB4" s="245"/>
      <c r="AC4" s="245" t="s">
        <v>322</v>
      </c>
      <c r="AD4" s="245"/>
      <c r="AE4" s="245" t="s">
        <v>321</v>
      </c>
      <c r="AF4" s="245"/>
      <c r="AG4" s="245" t="s">
        <v>28</v>
      </c>
      <c r="AH4" s="245"/>
    </row>
    <row r="5" spans="1:34" ht="47.25" customHeight="1" x14ac:dyDescent="0.2">
      <c r="A5" s="242"/>
      <c r="B5" s="244"/>
      <c r="C5" s="246" t="s">
        <v>117</v>
      </c>
      <c r="D5" s="247"/>
      <c r="E5" s="246" t="s">
        <v>13</v>
      </c>
      <c r="F5" s="247"/>
      <c r="G5" s="246" t="s">
        <v>117</v>
      </c>
      <c r="H5" s="247"/>
      <c r="I5" s="246" t="s">
        <v>13</v>
      </c>
      <c r="J5" s="247"/>
      <c r="K5" s="246" t="s">
        <v>117</v>
      </c>
      <c r="L5" s="247"/>
      <c r="M5" s="246" t="s">
        <v>13</v>
      </c>
      <c r="N5" s="247"/>
      <c r="O5" s="246" t="s">
        <v>117</v>
      </c>
      <c r="P5" s="247"/>
      <c r="Q5" s="246" t="s">
        <v>13</v>
      </c>
      <c r="R5" s="247"/>
      <c r="S5" s="246" t="s">
        <v>117</v>
      </c>
      <c r="T5" s="247"/>
      <c r="U5" s="246" t="s">
        <v>13</v>
      </c>
      <c r="V5" s="247"/>
      <c r="W5" s="248" t="s">
        <v>117</v>
      </c>
      <c r="X5" s="248"/>
      <c r="Y5" s="248" t="s">
        <v>13</v>
      </c>
      <c r="Z5" s="248"/>
      <c r="AA5" s="250" t="s">
        <v>117</v>
      </c>
      <c r="AB5" s="250" t="s">
        <v>13</v>
      </c>
      <c r="AC5" s="250" t="s">
        <v>117</v>
      </c>
      <c r="AD5" s="250" t="s">
        <v>13</v>
      </c>
      <c r="AE5" s="250" t="s">
        <v>117</v>
      </c>
      <c r="AF5" s="250" t="s">
        <v>13</v>
      </c>
      <c r="AG5" s="250" t="s">
        <v>117</v>
      </c>
      <c r="AH5" s="250" t="s">
        <v>13</v>
      </c>
    </row>
    <row r="6" spans="1:34" ht="47.25" customHeight="1" x14ac:dyDescent="0.2">
      <c r="A6" s="217"/>
      <c r="B6" s="218"/>
      <c r="C6" s="25" t="s">
        <v>4</v>
      </c>
      <c r="D6" s="25" t="s">
        <v>319</v>
      </c>
      <c r="E6" s="25" t="s">
        <v>4</v>
      </c>
      <c r="F6" s="25" t="s">
        <v>319</v>
      </c>
      <c r="G6" s="25" t="s">
        <v>4</v>
      </c>
      <c r="H6" s="25" t="s">
        <v>319</v>
      </c>
      <c r="I6" s="25" t="s">
        <v>4</v>
      </c>
      <c r="J6" s="25" t="s">
        <v>319</v>
      </c>
      <c r="K6" s="25" t="s">
        <v>4</v>
      </c>
      <c r="L6" s="25" t="s">
        <v>319</v>
      </c>
      <c r="M6" s="25" t="s">
        <v>4</v>
      </c>
      <c r="N6" s="25" t="s">
        <v>319</v>
      </c>
      <c r="O6" s="25" t="s">
        <v>4</v>
      </c>
      <c r="P6" s="25" t="s">
        <v>319</v>
      </c>
      <c r="Q6" s="25" t="s">
        <v>4</v>
      </c>
      <c r="R6" s="25" t="s">
        <v>319</v>
      </c>
      <c r="S6" s="25" t="s">
        <v>4</v>
      </c>
      <c r="T6" s="25" t="s">
        <v>319</v>
      </c>
      <c r="U6" s="25" t="s">
        <v>4</v>
      </c>
      <c r="V6" s="25" t="s">
        <v>319</v>
      </c>
      <c r="W6" s="26" t="s">
        <v>4</v>
      </c>
      <c r="X6" s="26" t="s">
        <v>319</v>
      </c>
      <c r="Y6" s="26" t="s">
        <v>4</v>
      </c>
      <c r="Z6" s="26" t="s">
        <v>319</v>
      </c>
      <c r="AA6" s="251"/>
      <c r="AB6" s="251"/>
      <c r="AC6" s="251"/>
      <c r="AD6" s="251"/>
      <c r="AE6" s="251"/>
      <c r="AF6" s="251"/>
      <c r="AG6" s="251"/>
      <c r="AH6" s="251"/>
    </row>
    <row r="7" spans="1:34" ht="47.25" customHeight="1" x14ac:dyDescent="0.2">
      <c r="A7" s="181">
        <f>'Lao đông'!J31</f>
        <v>1</v>
      </c>
      <c r="B7" s="214" t="str">
        <f>'Lao đông'!K31</f>
        <v>Xác định các yếu tố ảnh hưởng đến giá đất của thửa đất/khu đất cần định giá</v>
      </c>
      <c r="C7" s="215">
        <f>'Lao đông'!P31</f>
        <v>8723623</v>
      </c>
      <c r="D7" s="215">
        <f>'Lao đông'!Q31</f>
        <v>0</v>
      </c>
      <c r="E7" s="215">
        <f>'Lao đông'!R31</f>
        <v>8102818</v>
      </c>
      <c r="F7" s="215">
        <f>'Lao đông'!S31</f>
        <v>0</v>
      </c>
      <c r="G7" s="215">
        <f>'Dụng cụ'!Z35</f>
        <v>51448</v>
      </c>
      <c r="H7" s="215">
        <f>'Dụng cụ'!AA35</f>
        <v>0</v>
      </c>
      <c r="I7" s="215">
        <f>'Dụng cụ'!AB35</f>
        <v>49045</v>
      </c>
      <c r="J7" s="215">
        <f>'Dụng cụ'!AC35</f>
        <v>0</v>
      </c>
      <c r="K7" s="215">
        <f>'Thiết bị'!Z22</f>
        <v>7946</v>
      </c>
      <c r="L7" s="215">
        <f>'Thiết bị'!AA22</f>
        <v>0</v>
      </c>
      <c r="M7" s="215">
        <f>'Thiết bị'!AB22</f>
        <v>7749</v>
      </c>
      <c r="N7" s="215">
        <f>'Thiết bị'!AC22</f>
        <v>0</v>
      </c>
      <c r="O7" s="216">
        <f>'Vật liệu'!U28</f>
        <v>196988</v>
      </c>
      <c r="P7" s="216">
        <f>'Vật liệu'!V28</f>
        <v>0</v>
      </c>
      <c r="Q7" s="216">
        <f>'Vật liệu'!W28</f>
        <v>238404</v>
      </c>
      <c r="R7" s="216">
        <f>'Vật liệu'!X28</f>
        <v>0</v>
      </c>
      <c r="S7" s="216">
        <f>'nang luong'!P14</f>
        <v>539725</v>
      </c>
      <c r="T7" s="216">
        <f>'nang luong'!Q14</f>
        <v>0</v>
      </c>
      <c r="U7" s="216">
        <f>'nang luong'!R14</f>
        <v>529315</v>
      </c>
      <c r="V7" s="216">
        <f>'nang luong'!S14</f>
        <v>0</v>
      </c>
      <c r="W7" s="29">
        <f>C7+G7+K7+$O7+S7</f>
        <v>9519730</v>
      </c>
      <c r="X7" s="29">
        <f t="shared" ref="X7:Z7" si="0">D7+H7+L7+$O7+T7</f>
        <v>196988</v>
      </c>
      <c r="Y7" s="29">
        <f t="shared" si="0"/>
        <v>8885915</v>
      </c>
      <c r="Z7" s="29">
        <f t="shared" si="0"/>
        <v>196988</v>
      </c>
      <c r="AA7" s="29">
        <f>ROUND(15%*(W7+Y7),0)</f>
        <v>2760847</v>
      </c>
      <c r="AB7" s="29">
        <f>ROUND(20%*(X7+Z7),0)</f>
        <v>78795</v>
      </c>
      <c r="AC7" s="29">
        <f>AA7+W7+X7</f>
        <v>12477565</v>
      </c>
      <c r="AD7" s="29">
        <f>AB7+Z7+Y7</f>
        <v>9161698</v>
      </c>
      <c r="AE7" s="29">
        <f>ROUND(8%*AC7,0)</f>
        <v>998205</v>
      </c>
      <c r="AF7" s="29">
        <f>ROUND(8%*AD7,0)</f>
        <v>732936</v>
      </c>
      <c r="AG7" s="29">
        <f>AE7+AC7</f>
        <v>13475770</v>
      </c>
      <c r="AH7" s="29">
        <f>AF7+AD7</f>
        <v>9894634</v>
      </c>
    </row>
    <row r="8" spans="1:34" ht="48" customHeight="1" x14ac:dyDescent="0.2">
      <c r="A8" s="181">
        <f>'Lao đông'!J32</f>
        <v>2</v>
      </c>
      <c r="B8" s="214" t="str">
        <f>'Lao đông'!K32</f>
        <v>Thu thập, tổng hợp, phân tích thông tin</v>
      </c>
      <c r="C8" s="215">
        <f>'Lao đông'!P32</f>
        <v>14953964</v>
      </c>
      <c r="D8" s="215">
        <f>'Lao đông'!Q32</f>
        <v>33055795</v>
      </c>
      <c r="E8" s="215">
        <f>'Lao đông'!R32</f>
        <v>11577968</v>
      </c>
      <c r="F8" s="215">
        <f>'Lao đông'!S32</f>
        <v>25710062</v>
      </c>
      <c r="G8" s="215">
        <f>'Dụng cụ'!Z36</f>
        <v>88192</v>
      </c>
      <c r="H8" s="215">
        <f>'Dụng cụ'!AA36</f>
        <v>220557</v>
      </c>
      <c r="I8" s="215">
        <f>'Dụng cụ'!AB36</f>
        <v>70080</v>
      </c>
      <c r="J8" s="215">
        <f>'Dụng cụ'!AC36</f>
        <v>22986</v>
      </c>
      <c r="K8" s="215">
        <f>'Thiết bị'!Z23</f>
        <v>13621</v>
      </c>
      <c r="L8" s="215">
        <f>'Thiết bị'!AA23</f>
        <v>42611</v>
      </c>
      <c r="M8" s="215">
        <f>'Thiết bị'!AB23</f>
        <v>11072</v>
      </c>
      <c r="N8" s="215">
        <f>'Thiết bị'!AC23</f>
        <v>33142</v>
      </c>
      <c r="O8" s="216">
        <f>'Vật liệu'!U29</f>
        <v>337675</v>
      </c>
      <c r="P8" s="216">
        <f>'Vật liệu'!V29</f>
        <v>173996</v>
      </c>
      <c r="Q8" s="216">
        <f>'Vật liệu'!W29</f>
        <v>340651</v>
      </c>
      <c r="R8" s="216">
        <f>'Vật liệu'!X29</f>
        <v>173996</v>
      </c>
      <c r="S8" s="216">
        <f>'nang luong'!P15</f>
        <v>925192</v>
      </c>
      <c r="T8" s="216">
        <f>'nang luong'!Q15</f>
        <v>0</v>
      </c>
      <c r="U8" s="216">
        <f>'nang luong'!R15</f>
        <v>756328</v>
      </c>
      <c r="V8" s="216">
        <f>'nang luong'!S15</f>
        <v>0</v>
      </c>
      <c r="W8" s="29">
        <f t="shared" ref="W8:W11" si="1">C8+G8+K8+$O8+S8</f>
        <v>16318644</v>
      </c>
      <c r="X8" s="29">
        <f t="shared" ref="X8:X11" si="2">D8+H8+L8+$O8+T8</f>
        <v>33656638</v>
      </c>
      <c r="Y8" s="29">
        <f t="shared" ref="Y8:Y11" si="3">E8+I8+M8+$O8+U8</f>
        <v>12753123</v>
      </c>
      <c r="Z8" s="29">
        <f t="shared" ref="Z8:Z11" si="4">F8+J8+N8+$O8+V8</f>
        <v>26103865</v>
      </c>
      <c r="AA8" s="29">
        <f t="shared" ref="AA8:AA11" si="5">ROUND(15%*(W8+Y8),0)</f>
        <v>4360765</v>
      </c>
      <c r="AB8" s="29">
        <f t="shared" ref="AB8:AB11" si="6">ROUND(20%*(X8+Z8),0)</f>
        <v>11952101</v>
      </c>
      <c r="AC8" s="29">
        <f t="shared" ref="AC8:AC11" si="7">AA8+W8+X8</f>
        <v>54336047</v>
      </c>
      <c r="AD8" s="29">
        <f t="shared" ref="AD8:AD11" si="8">AB8+Z8+Y8</f>
        <v>50809089</v>
      </c>
      <c r="AE8" s="29">
        <f t="shared" ref="AE8:AE11" si="9">ROUND(8%*AC8,0)</f>
        <v>4346884</v>
      </c>
      <c r="AF8" s="29">
        <f t="shared" ref="AF8:AF11" si="10">ROUND(8%*AD8,0)</f>
        <v>4064727</v>
      </c>
      <c r="AG8" s="29">
        <f t="shared" ref="AG8:AG11" si="11">AE8+AC8</f>
        <v>58682931</v>
      </c>
      <c r="AH8" s="29">
        <f t="shared" ref="AH8:AH11" si="12">AF8+AD8</f>
        <v>54873816</v>
      </c>
    </row>
    <row r="9" spans="1:34" ht="48" customHeight="1" x14ac:dyDescent="0.2">
      <c r="A9" s="181">
        <f>'Lao đông'!J33</f>
        <v>3</v>
      </c>
      <c r="B9" s="214" t="str">
        <f>'Lao đông'!K33</f>
        <v>Lựa chọn phương pháp định giá đất</v>
      </c>
      <c r="C9" s="215">
        <f>'Lao đông'!P33</f>
        <v>14953964</v>
      </c>
      <c r="D9" s="215">
        <f>'Lao đông'!Q33</f>
        <v>0</v>
      </c>
      <c r="E9" s="215">
        <f>'Lao đông'!R33</f>
        <v>6945901</v>
      </c>
      <c r="F9" s="215">
        <f>'Lao đông'!S33</f>
        <v>0</v>
      </c>
      <c r="G9" s="215">
        <f>'Dụng cụ'!Z37</f>
        <v>88192</v>
      </c>
      <c r="H9" s="215">
        <f>'Dụng cụ'!AA37</f>
        <v>0</v>
      </c>
      <c r="I9" s="215">
        <f>'Dụng cụ'!AB37</f>
        <v>42043</v>
      </c>
      <c r="J9" s="215">
        <f>'Dụng cụ'!AC37</f>
        <v>0</v>
      </c>
      <c r="K9" s="215">
        <f>'Thiết bị'!Z24</f>
        <v>13621</v>
      </c>
      <c r="L9" s="215">
        <f>'Thiết bị'!AA24</f>
        <v>0</v>
      </c>
      <c r="M9" s="215">
        <f>'Thiết bị'!AB24</f>
        <v>6642</v>
      </c>
      <c r="N9" s="215">
        <f>'Thiết bị'!AC24</f>
        <v>0</v>
      </c>
      <c r="O9" s="216">
        <f>'Vật liệu'!U30</f>
        <v>337675</v>
      </c>
      <c r="P9" s="216">
        <f>'Vật liệu'!V30</f>
        <v>0</v>
      </c>
      <c r="Q9" s="216">
        <f>'Vật liệu'!W30</f>
        <v>204365</v>
      </c>
      <c r="R9" s="216">
        <f>'Vật liệu'!X30</f>
        <v>0</v>
      </c>
      <c r="S9" s="216">
        <f>'nang luong'!P16</f>
        <v>925192</v>
      </c>
      <c r="T9" s="216">
        <f>'nang luong'!Q16</f>
        <v>0</v>
      </c>
      <c r="U9" s="216">
        <f>'nang luong'!R16</f>
        <v>453739</v>
      </c>
      <c r="V9" s="216">
        <f>'nang luong'!S16</f>
        <v>0</v>
      </c>
      <c r="W9" s="29">
        <f t="shared" si="1"/>
        <v>16318644</v>
      </c>
      <c r="X9" s="29">
        <f t="shared" si="2"/>
        <v>337675</v>
      </c>
      <c r="Y9" s="29">
        <f t="shared" si="3"/>
        <v>7786000</v>
      </c>
      <c r="Z9" s="29">
        <f t="shared" si="4"/>
        <v>337675</v>
      </c>
      <c r="AA9" s="29">
        <f t="shared" si="5"/>
        <v>3615697</v>
      </c>
      <c r="AB9" s="29">
        <f t="shared" si="6"/>
        <v>135070</v>
      </c>
      <c r="AC9" s="29">
        <f t="shared" si="7"/>
        <v>20272016</v>
      </c>
      <c r="AD9" s="29">
        <f t="shared" si="8"/>
        <v>8258745</v>
      </c>
      <c r="AE9" s="29">
        <f t="shared" si="9"/>
        <v>1621761</v>
      </c>
      <c r="AF9" s="29">
        <f t="shared" si="10"/>
        <v>660700</v>
      </c>
      <c r="AG9" s="29">
        <f t="shared" si="11"/>
        <v>21893777</v>
      </c>
      <c r="AH9" s="29">
        <f t="shared" si="12"/>
        <v>8919445</v>
      </c>
    </row>
    <row r="10" spans="1:34" ht="48" customHeight="1" x14ac:dyDescent="0.2">
      <c r="A10" s="181">
        <f>'Lao đông'!J34</f>
        <v>4</v>
      </c>
      <c r="B10" s="214" t="str">
        <f>'Lao đông'!K34</f>
        <v>Xây dựng báo cáo thuyết minh xây dựng phương án giá đất, dự thảo chứng thư định giá đất</v>
      </c>
      <c r="C10" s="215">
        <f>'Lao đông'!P34</f>
        <v>12460681</v>
      </c>
      <c r="D10" s="215">
        <f>'Lao đông'!Q34</f>
        <v>0</v>
      </c>
      <c r="E10" s="215">
        <f>'Lao đông'!R34</f>
        <v>11577968</v>
      </c>
      <c r="F10" s="215">
        <f>'Lao đông'!S34</f>
        <v>0</v>
      </c>
      <c r="G10" s="215">
        <f>'Dụng cụ'!Z38</f>
        <v>33556</v>
      </c>
      <c r="H10" s="215">
        <f>'Dụng cụ'!AA38</f>
        <v>0</v>
      </c>
      <c r="I10" s="215">
        <f>'Dụng cụ'!AB38</f>
        <v>32000</v>
      </c>
      <c r="J10" s="215">
        <f>'Dụng cụ'!AC38</f>
        <v>0</v>
      </c>
      <c r="K10" s="215">
        <f>'Thiết bị'!Z25</f>
        <v>5183</v>
      </c>
      <c r="L10" s="215">
        <f>'Thiết bị'!AA25</f>
        <v>0</v>
      </c>
      <c r="M10" s="215">
        <f>'Thiết bị'!AB25</f>
        <v>5056</v>
      </c>
      <c r="N10" s="215">
        <f>'Thiết bị'!AC25</f>
        <v>0</v>
      </c>
      <c r="O10" s="216">
        <f>'Vật liệu'!U31</f>
        <v>128481</v>
      </c>
      <c r="P10" s="216">
        <f>'Vật liệu'!V31</f>
        <v>0</v>
      </c>
      <c r="Q10" s="216">
        <f>'Vật liệu'!W31</f>
        <v>155549</v>
      </c>
      <c r="R10" s="216">
        <f>'Vật liệu'!X31</f>
        <v>0</v>
      </c>
      <c r="S10" s="216">
        <f>'nang luong'!P17</f>
        <v>352025</v>
      </c>
      <c r="T10" s="216">
        <f>'nang luong'!Q17</f>
        <v>0</v>
      </c>
      <c r="U10" s="216">
        <f>'nang luong'!R17</f>
        <v>345355</v>
      </c>
      <c r="V10" s="216">
        <f>'nang luong'!S17</f>
        <v>0</v>
      </c>
      <c r="W10" s="29">
        <f t="shared" si="1"/>
        <v>12979926</v>
      </c>
      <c r="X10" s="29">
        <f t="shared" si="2"/>
        <v>128481</v>
      </c>
      <c r="Y10" s="29">
        <f t="shared" si="3"/>
        <v>12088860</v>
      </c>
      <c r="Z10" s="29">
        <f t="shared" si="4"/>
        <v>128481</v>
      </c>
      <c r="AA10" s="29">
        <f t="shared" si="5"/>
        <v>3760318</v>
      </c>
      <c r="AB10" s="29">
        <f t="shared" si="6"/>
        <v>51392</v>
      </c>
      <c r="AC10" s="29">
        <f t="shared" si="7"/>
        <v>16868725</v>
      </c>
      <c r="AD10" s="29">
        <f t="shared" si="8"/>
        <v>12268733</v>
      </c>
      <c r="AE10" s="29">
        <f t="shared" si="9"/>
        <v>1349498</v>
      </c>
      <c r="AF10" s="29">
        <f t="shared" si="10"/>
        <v>981499</v>
      </c>
      <c r="AG10" s="29">
        <f t="shared" si="11"/>
        <v>18218223</v>
      </c>
      <c r="AH10" s="29">
        <f t="shared" si="12"/>
        <v>13250232</v>
      </c>
    </row>
    <row r="11" spans="1:34" ht="48" customHeight="1" x14ac:dyDescent="0.2">
      <c r="A11" s="181">
        <f>'Lao đông'!J35</f>
        <v>5</v>
      </c>
      <c r="B11" s="214" t="str">
        <f>'Lao đông'!K35</f>
        <v>Hoàn thiện báo cáo thuyết minh xây dựng  phương án giá đất và chứng thư định giá đất</v>
      </c>
      <c r="C11" s="215">
        <f>'Lao đông'!P35</f>
        <v>6224609</v>
      </c>
      <c r="D11" s="215">
        <f>'Lao đông'!Q35</f>
        <v>0</v>
      </c>
      <c r="E11" s="215">
        <f>'Lao đông'!R35</f>
        <v>5784585</v>
      </c>
      <c r="F11" s="215">
        <f>'Lao đông'!S35</f>
        <v>0</v>
      </c>
      <c r="G11" s="215">
        <f>'Dụng cụ'!Z39</f>
        <v>16763</v>
      </c>
      <c r="H11" s="215">
        <f>'Dụng cụ'!AA39</f>
        <v>0</v>
      </c>
      <c r="I11" s="215">
        <f>'Dụng cụ'!AB39</f>
        <v>15988</v>
      </c>
      <c r="J11" s="215">
        <f>'Dụng cụ'!AC39</f>
        <v>0</v>
      </c>
      <c r="K11" s="215">
        <f>'Thiết bị'!Z26</f>
        <v>2589</v>
      </c>
      <c r="L11" s="215">
        <f>'Thiết bị'!AA26</f>
        <v>0</v>
      </c>
      <c r="M11" s="215">
        <f>'Thiết bị'!AB26</f>
        <v>2526</v>
      </c>
      <c r="N11" s="215">
        <f>'Thiết bị'!AC26</f>
        <v>0</v>
      </c>
      <c r="O11" s="216">
        <f>'Vật liệu'!U32</f>
        <v>64182</v>
      </c>
      <c r="P11" s="216">
        <f>'Vật liệu'!V32</f>
        <v>0</v>
      </c>
      <c r="Q11" s="216">
        <f>'Vật liệu'!W32</f>
        <v>77715</v>
      </c>
      <c r="R11" s="216">
        <f>'Vật liệu'!X32</f>
        <v>0</v>
      </c>
      <c r="S11" s="216">
        <f>'nang luong'!P18</f>
        <v>175851</v>
      </c>
      <c r="T11" s="216">
        <f>'nang luong'!Q18</f>
        <v>0</v>
      </c>
      <c r="U11" s="216">
        <f>'nang luong'!R18</f>
        <v>172546</v>
      </c>
      <c r="V11" s="216">
        <f>'nang luong'!S18</f>
        <v>0</v>
      </c>
      <c r="W11" s="29">
        <f t="shared" si="1"/>
        <v>6483994</v>
      </c>
      <c r="X11" s="29">
        <f t="shared" si="2"/>
        <v>64182</v>
      </c>
      <c r="Y11" s="29">
        <f t="shared" si="3"/>
        <v>6039827</v>
      </c>
      <c r="Z11" s="29">
        <f t="shared" si="4"/>
        <v>64182</v>
      </c>
      <c r="AA11" s="29">
        <f t="shared" si="5"/>
        <v>1878573</v>
      </c>
      <c r="AB11" s="29">
        <f t="shared" si="6"/>
        <v>25673</v>
      </c>
      <c r="AC11" s="29">
        <f t="shared" si="7"/>
        <v>8426749</v>
      </c>
      <c r="AD11" s="29">
        <f t="shared" si="8"/>
        <v>6129682</v>
      </c>
      <c r="AE11" s="29">
        <f t="shared" si="9"/>
        <v>674140</v>
      </c>
      <c r="AF11" s="29">
        <f t="shared" si="10"/>
        <v>490375</v>
      </c>
      <c r="AG11" s="29">
        <f t="shared" si="11"/>
        <v>9100889</v>
      </c>
      <c r="AH11" s="29">
        <f t="shared" si="12"/>
        <v>6620057</v>
      </c>
    </row>
    <row r="12" spans="1:34" ht="35.25" customHeight="1" x14ac:dyDescent="0.2">
      <c r="A12" s="30"/>
      <c r="B12" s="30" t="s">
        <v>29</v>
      </c>
      <c r="C12" s="31">
        <f>SUM(C7:C11)</f>
        <v>57316841</v>
      </c>
      <c r="D12" s="31">
        <f t="shared" ref="D12:Z12" si="13">SUM(D7:D11)</f>
        <v>33055795</v>
      </c>
      <c r="E12" s="31">
        <f t="shared" si="13"/>
        <v>43989240</v>
      </c>
      <c r="F12" s="31">
        <f t="shared" si="13"/>
        <v>25710062</v>
      </c>
      <c r="G12" s="31">
        <f t="shared" si="13"/>
        <v>278151</v>
      </c>
      <c r="H12" s="31">
        <f t="shared" si="13"/>
        <v>220557</v>
      </c>
      <c r="I12" s="31">
        <f t="shared" si="13"/>
        <v>209156</v>
      </c>
      <c r="J12" s="31">
        <f t="shared" si="13"/>
        <v>22986</v>
      </c>
      <c r="K12" s="31">
        <f t="shared" si="13"/>
        <v>42960</v>
      </c>
      <c r="L12" s="31">
        <f t="shared" si="13"/>
        <v>42611</v>
      </c>
      <c r="M12" s="31">
        <f t="shared" si="13"/>
        <v>33045</v>
      </c>
      <c r="N12" s="31">
        <f t="shared" si="13"/>
        <v>33142</v>
      </c>
      <c r="O12" s="31">
        <f t="shared" si="13"/>
        <v>1065001</v>
      </c>
      <c r="P12" s="31">
        <f t="shared" si="13"/>
        <v>173996</v>
      </c>
      <c r="Q12" s="31">
        <f t="shared" si="13"/>
        <v>1016684</v>
      </c>
      <c r="R12" s="31">
        <f t="shared" si="13"/>
        <v>173996</v>
      </c>
      <c r="S12" s="31">
        <f t="shared" si="13"/>
        <v>2917985</v>
      </c>
      <c r="T12" s="31">
        <f t="shared" si="13"/>
        <v>0</v>
      </c>
      <c r="U12" s="31">
        <f t="shared" si="13"/>
        <v>2257283</v>
      </c>
      <c r="V12" s="31">
        <f t="shared" si="13"/>
        <v>0</v>
      </c>
      <c r="W12" s="31">
        <f t="shared" si="13"/>
        <v>61620938</v>
      </c>
      <c r="X12" s="31">
        <f t="shared" si="13"/>
        <v>34383964</v>
      </c>
      <c r="Y12" s="31">
        <f t="shared" si="13"/>
        <v>47553725</v>
      </c>
      <c r="Z12" s="31">
        <f t="shared" si="13"/>
        <v>26831191</v>
      </c>
      <c r="AA12" s="31">
        <f t="shared" ref="AA12" si="14">SUM(AA7:AA11)</f>
        <v>16376200</v>
      </c>
      <c r="AB12" s="31">
        <f t="shared" ref="AB12" si="15">SUM(AB7:AB11)</f>
        <v>12243031</v>
      </c>
      <c r="AC12" s="31">
        <f t="shared" ref="AC12" si="16">SUM(AC7:AC11)</f>
        <v>112381102</v>
      </c>
      <c r="AD12" s="31">
        <f t="shared" ref="AD12" si="17">SUM(AD7:AD11)</f>
        <v>86627947</v>
      </c>
      <c r="AE12" s="31">
        <f t="shared" ref="AE12" si="18">SUM(AE7:AE11)</f>
        <v>8990488</v>
      </c>
      <c r="AF12" s="31">
        <f t="shared" ref="AF12" si="19">SUM(AF7:AF11)</f>
        <v>6930237</v>
      </c>
      <c r="AG12" s="31">
        <f t="shared" ref="AG12" si="20">SUM(AG7:AG11)</f>
        <v>121371590</v>
      </c>
      <c r="AH12" s="31">
        <f t="shared" ref="AH12" si="21">SUM(AH7:AH11)</f>
        <v>93558184</v>
      </c>
    </row>
    <row r="14" spans="1:34" x14ac:dyDescent="0.2">
      <c r="AG14" s="333"/>
    </row>
  </sheetData>
  <mergeCells count="33">
    <mergeCell ref="K4:N4"/>
    <mergeCell ref="G4:J4"/>
    <mergeCell ref="AE4:AF4"/>
    <mergeCell ref="AG4:AH4"/>
    <mergeCell ref="AA5:AA6"/>
    <mergeCell ref="AB5:AB6"/>
    <mergeCell ref="AC5:AC6"/>
    <mergeCell ref="AD5:AD6"/>
    <mergeCell ref="AE5:AE6"/>
    <mergeCell ref="AF5:AF6"/>
    <mergeCell ref="AG5:AG6"/>
    <mergeCell ref="AH5:AH6"/>
    <mergeCell ref="AA4:AB4"/>
    <mergeCell ref="AC4:AD4"/>
    <mergeCell ref="W4:Z4"/>
    <mergeCell ref="S4:V4"/>
    <mergeCell ref="O4:R4"/>
    <mergeCell ref="A2:Y2"/>
    <mergeCell ref="A4:A5"/>
    <mergeCell ref="B4:B5"/>
    <mergeCell ref="C5:D5"/>
    <mergeCell ref="E5:F5"/>
    <mergeCell ref="G5:H5"/>
    <mergeCell ref="I5:J5"/>
    <mergeCell ref="K5:L5"/>
    <mergeCell ref="M5:N5"/>
    <mergeCell ref="O5:P5"/>
    <mergeCell ref="Q5:R5"/>
    <mergeCell ref="S5:T5"/>
    <mergeCell ref="U5:V5"/>
    <mergeCell ref="W5:X5"/>
    <mergeCell ref="Y5:Z5"/>
    <mergeCell ref="C4:F4"/>
  </mergeCells>
  <pageMargins left="0.32" right="0.28000000000000003" top="0.75" bottom="0.75" header="0.3" footer="0.3"/>
  <pageSetup paperSize="9" scale="85"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BC41"/>
  <sheetViews>
    <sheetView topLeftCell="J17" zoomScale="72" zoomScaleNormal="85" workbookViewId="0">
      <selection activeCell="W18" sqref="W18"/>
    </sheetView>
  </sheetViews>
  <sheetFormatPr defaultColWidth="9" defaultRowHeight="12.75" x14ac:dyDescent="0.2"/>
  <cols>
    <col min="1" max="1" width="5" style="20" hidden="1" customWidth="1"/>
    <col min="2" max="2" width="24.125" style="20" hidden="1" customWidth="1"/>
    <col min="3" max="3" width="12.375" style="20" hidden="1" customWidth="1"/>
    <col min="4" max="4" width="6.25" style="20" hidden="1" customWidth="1"/>
    <col min="5" max="5" width="5" style="20" hidden="1" customWidth="1"/>
    <col min="6" max="7" width="8.125" style="20" hidden="1" customWidth="1"/>
    <col min="8" max="9" width="5" style="20" hidden="1" customWidth="1"/>
    <col min="10" max="10" width="7.5" style="20" customWidth="1"/>
    <col min="11" max="11" width="27.125" style="20" customWidth="1"/>
    <col min="12" max="12" width="14.875" style="20" customWidth="1"/>
    <col min="13" max="13" width="8.75" style="20" customWidth="1"/>
    <col min="14" max="14" width="10.875" style="24" customWidth="1"/>
    <col min="15" max="15" width="11.5" style="20" customWidth="1"/>
    <col min="16" max="16" width="10.625" style="20" customWidth="1"/>
    <col min="17" max="18" width="12.125" style="20" customWidth="1"/>
    <col min="19" max="19" width="12.5" style="20" customWidth="1"/>
    <col min="20" max="20" width="9.625" style="24" customWidth="1"/>
    <col min="21" max="21" width="10.625" style="20" customWidth="1"/>
    <col min="22" max="22" width="13.625" style="20" customWidth="1"/>
    <col min="23" max="23" width="9" style="231" customWidth="1"/>
    <col min="24" max="24" width="10.625" style="231" customWidth="1"/>
    <col min="25" max="25" width="10.875" style="232" customWidth="1"/>
    <col min="26" max="26" width="15" style="232" customWidth="1"/>
    <col min="27" max="27" width="11.75" style="232" customWidth="1"/>
    <col min="28" max="28" width="12.5" style="20" customWidth="1"/>
    <col min="29" max="29" width="13" style="20" customWidth="1"/>
    <col min="30" max="30" width="9.875" style="20" customWidth="1"/>
    <col min="31" max="31" width="13.375" style="20" customWidth="1"/>
    <col min="32" max="35" width="9" style="20" hidden="1" customWidth="1"/>
    <col min="36" max="36" width="9" style="62" hidden="1" customWidth="1"/>
    <col min="37" max="37" width="30.375" style="20" hidden="1" customWidth="1"/>
    <col min="38" max="47" width="9" style="20" hidden="1" customWidth="1"/>
    <col min="48" max="48" width="38.125" style="20" hidden="1" customWidth="1"/>
    <col min="49" max="49" width="28" style="159" hidden="1" customWidth="1"/>
    <col min="50" max="50" width="20.5" style="62" hidden="1" customWidth="1"/>
    <col min="51" max="54" width="9" style="20" hidden="1" customWidth="1"/>
    <col min="55" max="16384" width="9" style="20"/>
  </cols>
  <sheetData>
    <row r="1" spans="1:54" x14ac:dyDescent="0.2">
      <c r="AK1" s="20" t="s">
        <v>131</v>
      </c>
    </row>
    <row r="2" spans="1:54" ht="24" customHeight="1" x14ac:dyDescent="0.2">
      <c r="A2" s="265" t="s">
        <v>130</v>
      </c>
      <c r="B2" s="265"/>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c r="AL2" s="265"/>
      <c r="AM2" s="265"/>
      <c r="AN2" s="265"/>
      <c r="AO2" s="265"/>
      <c r="AP2" s="265"/>
      <c r="AQ2" s="265"/>
      <c r="AR2" s="265"/>
      <c r="AS2" s="265"/>
      <c r="AT2" s="265"/>
      <c r="AU2" s="265"/>
      <c r="AV2" s="265"/>
      <c r="AW2" s="265"/>
      <c r="AX2" s="265"/>
    </row>
    <row r="4" spans="1:54" ht="43.9" customHeight="1" x14ac:dyDescent="0.2">
      <c r="A4" s="266" t="s">
        <v>0</v>
      </c>
      <c r="B4" s="269" t="s">
        <v>250</v>
      </c>
      <c r="C4" s="269" t="s">
        <v>2</v>
      </c>
      <c r="D4" s="269" t="s">
        <v>258</v>
      </c>
      <c r="E4" s="269"/>
      <c r="F4" s="269"/>
      <c r="G4" s="269"/>
      <c r="H4" s="269"/>
      <c r="I4" s="269"/>
      <c r="J4" s="266" t="s">
        <v>0</v>
      </c>
      <c r="K4" s="259" t="s">
        <v>1</v>
      </c>
      <c r="L4" s="267" t="s">
        <v>2</v>
      </c>
      <c r="M4" s="259" t="s">
        <v>273</v>
      </c>
      <c r="N4" s="259"/>
      <c r="O4" s="259"/>
      <c r="P4" s="259"/>
      <c r="Q4" s="259" t="s">
        <v>24</v>
      </c>
      <c r="R4" s="259"/>
      <c r="S4" s="259" t="s">
        <v>28</v>
      </c>
      <c r="T4" s="259"/>
      <c r="U4" s="259"/>
      <c r="V4" s="259"/>
      <c r="W4" s="272" t="s">
        <v>313</v>
      </c>
      <c r="X4" s="273"/>
      <c r="Y4" s="273"/>
      <c r="Z4" s="273"/>
      <c r="AA4" s="273"/>
      <c r="AB4" s="259" t="s">
        <v>28</v>
      </c>
      <c r="AC4" s="259"/>
      <c r="AD4" s="259"/>
      <c r="AE4" s="259"/>
      <c r="AF4" s="229"/>
      <c r="AG4" s="229"/>
      <c r="AH4" s="229"/>
      <c r="AI4" s="229"/>
      <c r="AJ4" s="109" t="s">
        <v>0</v>
      </c>
      <c r="AK4" s="263" t="s">
        <v>1</v>
      </c>
      <c r="AL4" s="21" t="s">
        <v>2</v>
      </c>
      <c r="AM4" s="21" t="s">
        <v>3</v>
      </c>
      <c r="AN4" s="21"/>
      <c r="AO4" s="21"/>
      <c r="AP4" s="21"/>
      <c r="AQ4" s="21" t="s">
        <v>28</v>
      </c>
      <c r="AR4" s="21"/>
      <c r="AS4" s="21"/>
      <c r="AT4" s="21"/>
      <c r="AU4" s="21"/>
      <c r="AV4" s="268" t="s">
        <v>301</v>
      </c>
      <c r="AW4" s="254" t="s">
        <v>213</v>
      </c>
      <c r="AX4" s="255"/>
    </row>
    <row r="5" spans="1:54" ht="53.45" customHeight="1" x14ac:dyDescent="0.2">
      <c r="A5" s="266"/>
      <c r="B5" s="269"/>
      <c r="C5" s="269"/>
      <c r="D5" s="270" t="s">
        <v>251</v>
      </c>
      <c r="E5" s="270"/>
      <c r="F5" s="270"/>
      <c r="G5" s="270"/>
      <c r="H5" s="270"/>
      <c r="I5" s="270"/>
      <c r="J5" s="266"/>
      <c r="K5" s="259"/>
      <c r="L5" s="267"/>
      <c r="M5" s="253" t="s">
        <v>118</v>
      </c>
      <c r="N5" s="253"/>
      <c r="O5" s="253" t="s">
        <v>13</v>
      </c>
      <c r="P5" s="253"/>
      <c r="Q5" s="259"/>
      <c r="R5" s="259"/>
      <c r="S5" s="253" t="s">
        <v>118</v>
      </c>
      <c r="T5" s="253"/>
      <c r="U5" s="253" t="s">
        <v>13</v>
      </c>
      <c r="V5" s="253"/>
      <c r="W5" s="233" t="s">
        <v>314</v>
      </c>
      <c r="X5" s="233" t="s">
        <v>315</v>
      </c>
      <c r="Y5" s="234" t="s">
        <v>316</v>
      </c>
      <c r="Z5" s="234" t="s">
        <v>317</v>
      </c>
      <c r="AA5" s="234" t="s">
        <v>318</v>
      </c>
      <c r="AB5" s="253" t="s">
        <v>118</v>
      </c>
      <c r="AC5" s="253"/>
      <c r="AD5" s="253" t="s">
        <v>13</v>
      </c>
      <c r="AE5" s="253"/>
      <c r="AF5" s="21"/>
      <c r="AG5" s="21"/>
      <c r="AH5" s="21"/>
      <c r="AI5" s="21"/>
      <c r="AJ5" s="109"/>
      <c r="AK5" s="263"/>
      <c r="AL5" s="21"/>
      <c r="AM5" s="21" t="s">
        <v>118</v>
      </c>
      <c r="AN5" s="21"/>
      <c r="AO5" s="21" t="s">
        <v>13</v>
      </c>
      <c r="AP5" s="21"/>
      <c r="AQ5" s="21" t="s">
        <v>118</v>
      </c>
      <c r="AR5" s="21"/>
      <c r="AS5" s="21" t="s">
        <v>13</v>
      </c>
      <c r="AT5" s="21"/>
      <c r="AU5" s="21"/>
      <c r="AV5" s="268"/>
      <c r="AW5" s="256"/>
      <c r="AX5" s="257"/>
      <c r="AY5" s="253" t="s">
        <v>118</v>
      </c>
      <c r="AZ5" s="253"/>
      <c r="BA5" s="253" t="s">
        <v>13</v>
      </c>
      <c r="BB5" s="253"/>
    </row>
    <row r="6" spans="1:54" ht="51" customHeight="1" x14ac:dyDescent="0.2">
      <c r="A6" s="266"/>
      <c r="B6" s="269"/>
      <c r="C6" s="269"/>
      <c r="D6" s="264" t="s">
        <v>252</v>
      </c>
      <c r="E6" s="264"/>
      <c r="F6" s="264" t="s">
        <v>12</v>
      </c>
      <c r="G6" s="264"/>
      <c r="H6" s="264" t="s">
        <v>13</v>
      </c>
      <c r="I6" s="264"/>
      <c r="J6" s="266"/>
      <c r="K6" s="259"/>
      <c r="L6" s="267"/>
      <c r="M6" s="28" t="s">
        <v>4</v>
      </c>
      <c r="N6" s="28" t="s">
        <v>5</v>
      </c>
      <c r="O6" s="28" t="s">
        <v>4</v>
      </c>
      <c r="P6" s="28" t="s">
        <v>5</v>
      </c>
      <c r="Q6" s="28" t="s">
        <v>4</v>
      </c>
      <c r="R6" s="28" t="s">
        <v>5</v>
      </c>
      <c r="S6" s="28" t="s">
        <v>4</v>
      </c>
      <c r="T6" s="28" t="s">
        <v>5</v>
      </c>
      <c r="U6" s="28" t="s">
        <v>4</v>
      </c>
      <c r="V6" s="28" t="s">
        <v>5</v>
      </c>
      <c r="W6" s="233"/>
      <c r="X6" s="233"/>
      <c r="Y6" s="235"/>
      <c r="Z6" s="235"/>
      <c r="AA6" s="235"/>
      <c r="AB6" s="28" t="s">
        <v>4</v>
      </c>
      <c r="AC6" s="28" t="s">
        <v>5</v>
      </c>
      <c r="AD6" s="28" t="s">
        <v>4</v>
      </c>
      <c r="AE6" s="28" t="s">
        <v>5</v>
      </c>
      <c r="AF6" s="21"/>
      <c r="AG6" s="21"/>
      <c r="AH6" s="21"/>
      <c r="AI6" s="21"/>
      <c r="AJ6" s="109"/>
      <c r="AK6" s="263"/>
      <c r="AL6" s="21"/>
      <c r="AM6" s="21" t="s">
        <v>4</v>
      </c>
      <c r="AN6" s="21" t="s">
        <v>5</v>
      </c>
      <c r="AO6" s="21" t="s">
        <v>4</v>
      </c>
      <c r="AP6" s="21" t="s">
        <v>5</v>
      </c>
      <c r="AQ6" s="21" t="s">
        <v>4</v>
      </c>
      <c r="AR6" s="21" t="s">
        <v>5</v>
      </c>
      <c r="AS6" s="21" t="s">
        <v>4</v>
      </c>
      <c r="AT6" s="21" t="s">
        <v>5</v>
      </c>
      <c r="AU6" s="21"/>
      <c r="AV6" s="268"/>
      <c r="AW6" s="256"/>
      <c r="AX6" s="257"/>
      <c r="AY6" s="28" t="s">
        <v>4</v>
      </c>
      <c r="AZ6" s="28" t="s">
        <v>5</v>
      </c>
      <c r="BA6" s="28" t="s">
        <v>4</v>
      </c>
      <c r="BB6" s="28" t="s">
        <v>5</v>
      </c>
    </row>
    <row r="7" spans="1:54" ht="42" customHeight="1" x14ac:dyDescent="0.25">
      <c r="A7" s="166">
        <v>1</v>
      </c>
      <c r="B7" s="164" t="s">
        <v>253</v>
      </c>
      <c r="C7" s="163"/>
      <c r="D7" s="163"/>
      <c r="E7" s="163"/>
      <c r="F7" s="163"/>
      <c r="G7" s="163"/>
      <c r="H7" s="163"/>
      <c r="I7" s="168"/>
      <c r="J7" s="165">
        <v>1</v>
      </c>
      <c r="K7" s="172" t="s">
        <v>119</v>
      </c>
      <c r="L7" s="160"/>
      <c r="M7" s="28"/>
      <c r="N7" s="28"/>
      <c r="O7" s="28"/>
      <c r="P7" s="28"/>
      <c r="Q7" s="28"/>
      <c r="R7" s="28"/>
      <c r="S7" s="56">
        <f>S8+S9</f>
        <v>2523675</v>
      </c>
      <c r="T7" s="56">
        <f t="shared" ref="T7:V7" si="0">T9+T10</f>
        <v>0</v>
      </c>
      <c r="U7" s="56">
        <f>U8+U9</f>
        <v>2523675</v>
      </c>
      <c r="V7" s="56">
        <f t="shared" si="0"/>
        <v>0</v>
      </c>
      <c r="W7" s="233"/>
      <c r="X7" s="233"/>
      <c r="Y7" s="235"/>
      <c r="Z7" s="235"/>
      <c r="AA7" s="235"/>
      <c r="AB7" s="56">
        <f>AB8+AB9</f>
        <v>5526848</v>
      </c>
      <c r="AC7" s="56">
        <f t="shared" ref="AC7:AE7" si="1">AC9+AC10</f>
        <v>0</v>
      </c>
      <c r="AD7" s="56">
        <f>AD8+AD9</f>
        <v>5526848</v>
      </c>
      <c r="AE7" s="56">
        <f t="shared" si="1"/>
        <v>0</v>
      </c>
      <c r="AF7" s="21"/>
      <c r="AG7" s="21"/>
      <c r="AH7" s="21"/>
      <c r="AI7" s="21"/>
      <c r="AJ7" s="109"/>
      <c r="AK7" s="109"/>
      <c r="AL7" s="21"/>
      <c r="AM7" s="21"/>
      <c r="AN7" s="21"/>
      <c r="AO7" s="21"/>
      <c r="AP7" s="21"/>
      <c r="AQ7" s="21"/>
      <c r="AR7" s="21"/>
      <c r="AS7" s="21"/>
      <c r="AT7" s="21"/>
      <c r="AU7" s="115"/>
      <c r="AV7" s="21"/>
      <c r="AW7" s="113"/>
      <c r="AX7" s="113"/>
      <c r="AY7" s="144"/>
      <c r="AZ7" s="144"/>
      <c r="BA7" s="144"/>
      <c r="BB7" s="144"/>
    </row>
    <row r="8" spans="1:54" ht="69.75" customHeight="1" x14ac:dyDescent="0.25">
      <c r="A8" s="166"/>
      <c r="B8" s="164"/>
      <c r="C8" s="163"/>
      <c r="D8" s="163"/>
      <c r="E8" s="163"/>
      <c r="F8" s="163"/>
      <c r="G8" s="163"/>
      <c r="H8" s="163"/>
      <c r="I8" s="168"/>
      <c r="J8" s="119" t="s">
        <v>238</v>
      </c>
      <c r="K8" s="146" t="s">
        <v>270</v>
      </c>
      <c r="L8" s="149" t="s">
        <v>272</v>
      </c>
      <c r="M8" s="28">
        <v>3</v>
      </c>
      <c r="N8" s="28"/>
      <c r="O8" s="28">
        <v>3</v>
      </c>
      <c r="P8" s="28"/>
      <c r="Q8" s="29">
        <f>'Lương ngày'!$J$31</f>
        <v>360525</v>
      </c>
      <c r="R8" s="28"/>
      <c r="S8" s="29">
        <f t="shared" ref="S8" si="2">M8*Q8</f>
        <v>1081575</v>
      </c>
      <c r="T8" s="29">
        <f t="shared" ref="T8" si="3">N8*R8</f>
        <v>0</v>
      </c>
      <c r="U8" s="29">
        <f t="shared" ref="U8" si="4">O8*Q8</f>
        <v>1081575</v>
      </c>
      <c r="V8" s="29">
        <f t="shared" ref="V8" si="5">P8*R8</f>
        <v>0</v>
      </c>
      <c r="W8" s="233">
        <f>heso!$E$10</f>
        <v>2.19</v>
      </c>
      <c r="X8" s="233">
        <v>1</v>
      </c>
      <c r="Y8" s="233">
        <v>1</v>
      </c>
      <c r="Z8" s="233">
        <v>1</v>
      </c>
      <c r="AA8" s="233">
        <v>1</v>
      </c>
      <c r="AB8" s="230">
        <f>ROUND(S8*W8*X8*Y8*Z8*AA8,0)</f>
        <v>2368649</v>
      </c>
      <c r="AC8" s="230">
        <f>ROUND(T8*W8*X8*Y8*Z8*AA8,0)</f>
        <v>0</v>
      </c>
      <c r="AD8" s="230">
        <f>ROUND(U8*W8*X8*Y8*Z8*AA8,0)</f>
        <v>2368649</v>
      </c>
      <c r="AE8" s="230">
        <f>ROUND(V8*W8*X8*Y8*Z8*AA8,0)</f>
        <v>0</v>
      </c>
      <c r="AF8" s="21"/>
      <c r="AG8" s="21"/>
      <c r="AH8" s="21"/>
      <c r="AI8" s="21"/>
      <c r="AJ8" s="109"/>
      <c r="AK8" s="109"/>
      <c r="AL8" s="21"/>
      <c r="AM8" s="21"/>
      <c r="AN8" s="21"/>
      <c r="AO8" s="21"/>
      <c r="AP8" s="21"/>
      <c r="AQ8" s="21"/>
      <c r="AR8" s="21"/>
      <c r="AS8" s="21"/>
      <c r="AT8" s="21"/>
      <c r="AU8" s="115"/>
      <c r="AV8" s="271" t="s">
        <v>296</v>
      </c>
      <c r="AW8" s="113"/>
      <c r="AX8" s="113"/>
      <c r="AY8" s="144"/>
      <c r="AZ8" s="144"/>
      <c r="BA8" s="144"/>
      <c r="BB8" s="144"/>
    </row>
    <row r="9" spans="1:54" ht="69.75" customHeight="1" x14ac:dyDescent="0.2">
      <c r="A9" s="163" t="s">
        <v>238</v>
      </c>
      <c r="B9" s="164" t="s">
        <v>254</v>
      </c>
      <c r="C9" s="163" t="s">
        <v>255</v>
      </c>
      <c r="D9" s="163">
        <v>2</v>
      </c>
      <c r="E9" s="163"/>
      <c r="F9" s="163">
        <v>2</v>
      </c>
      <c r="G9" s="163"/>
      <c r="H9" s="163">
        <v>2</v>
      </c>
      <c r="I9" s="163"/>
      <c r="J9" s="119" t="s">
        <v>239</v>
      </c>
      <c r="K9" s="146" t="s">
        <v>271</v>
      </c>
      <c r="L9" s="149" t="s">
        <v>272</v>
      </c>
      <c r="M9" s="28">
        <v>4</v>
      </c>
      <c r="N9" s="28"/>
      <c r="O9" s="28">
        <v>4</v>
      </c>
      <c r="P9" s="28"/>
      <c r="Q9" s="29">
        <f>'Lương ngày'!$J$31</f>
        <v>360525</v>
      </c>
      <c r="R9" s="28"/>
      <c r="S9" s="29">
        <f t="shared" ref="S9" si="6">M9*Q9</f>
        <v>1442100</v>
      </c>
      <c r="T9" s="29">
        <f t="shared" ref="T9" si="7">N9*R9</f>
        <v>0</v>
      </c>
      <c r="U9" s="29">
        <f t="shared" ref="U9" si="8">O9*Q9</f>
        <v>1442100</v>
      </c>
      <c r="V9" s="29">
        <f t="shared" ref="V9" si="9">P9*R9</f>
        <v>0</v>
      </c>
      <c r="W9" s="233">
        <f>heso!$E$10</f>
        <v>2.19</v>
      </c>
      <c r="X9" s="233">
        <v>1</v>
      </c>
      <c r="Y9" s="233">
        <v>1</v>
      </c>
      <c r="Z9" s="233">
        <v>1</v>
      </c>
      <c r="AA9" s="233">
        <v>1</v>
      </c>
      <c r="AB9" s="230">
        <f>ROUND(S9*W9*X9*Y9*Z9*AA9,0)</f>
        <v>3158199</v>
      </c>
      <c r="AC9" s="230">
        <f>ROUND(T9*W9*X9*Y9*Z9*AA9,0)</f>
        <v>0</v>
      </c>
      <c r="AD9" s="230">
        <f>ROUND(U9*W9*X9*Y9*Z9*AA9,0)</f>
        <v>3158199</v>
      </c>
      <c r="AE9" s="230">
        <f>ROUND(V9*W9*X9*Y9*Z9*AA9,0)</f>
        <v>0</v>
      </c>
      <c r="AF9" s="21"/>
      <c r="AG9" s="21"/>
      <c r="AH9" s="21"/>
      <c r="AI9" s="21"/>
      <c r="AJ9" s="109"/>
      <c r="AK9" s="109"/>
      <c r="AL9" s="21"/>
      <c r="AM9" s="21"/>
      <c r="AN9" s="21"/>
      <c r="AO9" s="21"/>
      <c r="AP9" s="21"/>
      <c r="AQ9" s="21"/>
      <c r="AR9" s="21"/>
      <c r="AS9" s="21"/>
      <c r="AT9" s="21"/>
      <c r="AU9" s="115"/>
      <c r="AV9" s="271"/>
      <c r="AW9" s="113"/>
      <c r="AX9" s="113"/>
      <c r="AY9" s="144">
        <v>3</v>
      </c>
      <c r="AZ9" s="144"/>
      <c r="BA9" s="144">
        <v>3</v>
      </c>
      <c r="BB9" s="144"/>
    </row>
    <row r="10" spans="1:54" ht="45" customHeight="1" x14ac:dyDescent="0.2">
      <c r="A10" s="163" t="s">
        <v>239</v>
      </c>
      <c r="B10" s="164" t="s">
        <v>256</v>
      </c>
      <c r="C10" s="163" t="s">
        <v>257</v>
      </c>
      <c r="D10" s="163">
        <v>2</v>
      </c>
      <c r="E10" s="163"/>
      <c r="F10" s="163">
        <v>2</v>
      </c>
      <c r="G10" s="163"/>
      <c r="H10" s="163">
        <v>2</v>
      </c>
      <c r="I10" s="163"/>
      <c r="J10" s="165"/>
      <c r="K10" s="146"/>
      <c r="L10" s="149"/>
      <c r="M10" s="28"/>
      <c r="N10" s="28"/>
      <c r="O10" s="28"/>
      <c r="P10" s="28"/>
      <c r="Q10" s="29"/>
      <c r="R10" s="28"/>
      <c r="S10" s="29"/>
      <c r="T10" s="29"/>
      <c r="U10" s="29"/>
      <c r="V10" s="29"/>
      <c r="W10" s="233"/>
      <c r="X10" s="233"/>
      <c r="Y10" s="235"/>
      <c r="Z10" s="235"/>
      <c r="AA10" s="235"/>
      <c r="AB10" s="21"/>
      <c r="AC10" s="21"/>
      <c r="AD10" s="21"/>
      <c r="AE10" s="21"/>
      <c r="AF10" s="21"/>
      <c r="AG10" s="21"/>
      <c r="AH10" s="21"/>
      <c r="AI10" s="21"/>
      <c r="AJ10" s="109"/>
      <c r="AK10" s="109"/>
      <c r="AL10" s="21"/>
      <c r="AM10" s="21"/>
      <c r="AN10" s="21"/>
      <c r="AO10" s="21"/>
      <c r="AP10" s="21"/>
      <c r="AQ10" s="21"/>
      <c r="AR10" s="21"/>
      <c r="AS10" s="21"/>
      <c r="AT10" s="21"/>
      <c r="AU10" s="115"/>
      <c r="AV10" s="21"/>
      <c r="AW10" s="113"/>
      <c r="AX10" s="113"/>
      <c r="AY10" s="144">
        <v>4</v>
      </c>
      <c r="AZ10" s="144"/>
      <c r="BA10" s="144">
        <v>4</v>
      </c>
      <c r="BB10" s="144"/>
    </row>
    <row r="11" spans="1:54" ht="37.5" customHeight="1" x14ac:dyDescent="0.2">
      <c r="A11" s="166">
        <v>2</v>
      </c>
      <c r="B11" s="167" t="s">
        <v>266</v>
      </c>
      <c r="C11" s="165"/>
      <c r="D11" s="165"/>
      <c r="E11" s="165"/>
      <c r="F11" s="165"/>
      <c r="G11" s="165"/>
      <c r="H11" s="165"/>
      <c r="I11" s="165"/>
      <c r="J11" s="165">
        <v>2</v>
      </c>
      <c r="K11" s="167" t="s">
        <v>266</v>
      </c>
      <c r="L11" s="149"/>
      <c r="M11" s="28"/>
      <c r="N11" s="28"/>
      <c r="O11" s="28"/>
      <c r="P11" s="28"/>
      <c r="Q11" s="28"/>
      <c r="R11" s="28"/>
      <c r="S11" s="56">
        <f>SUM(S12:S15)</f>
        <v>9128493</v>
      </c>
      <c r="T11" s="56">
        <f>SUM(T12:T15)</f>
        <v>15093970.26923077</v>
      </c>
      <c r="U11" s="56">
        <f t="shared" ref="U11:V11" si="10">SUM(U12:U15)</f>
        <v>7607077.5</v>
      </c>
      <c r="V11" s="56">
        <f t="shared" si="10"/>
        <v>11739754.653846154</v>
      </c>
      <c r="W11" s="233"/>
      <c r="X11" s="233"/>
      <c r="Y11" s="235"/>
      <c r="Z11" s="235"/>
      <c r="AA11" s="235"/>
      <c r="AB11" s="56">
        <f>SUM(AB12:AB15)</f>
        <v>19991400</v>
      </c>
      <c r="AC11" s="56">
        <f>SUM(AC12:AC15)</f>
        <v>33055795</v>
      </c>
      <c r="AD11" s="56">
        <f t="shared" ref="AD11:AE11" si="11">SUM(AD12:AD15)</f>
        <v>16659500</v>
      </c>
      <c r="AE11" s="56">
        <f t="shared" si="11"/>
        <v>25710062</v>
      </c>
      <c r="AF11" s="21"/>
      <c r="AG11" s="21"/>
      <c r="AH11" s="21"/>
      <c r="AI11" s="21"/>
      <c r="AJ11" s="109">
        <v>2</v>
      </c>
      <c r="AK11" s="110" t="s">
        <v>120</v>
      </c>
      <c r="AL11" s="21"/>
      <c r="AM11" s="21"/>
      <c r="AN11" s="21"/>
      <c r="AO11" s="21"/>
      <c r="AP11" s="21"/>
      <c r="AQ11" s="21">
        <v>4001400</v>
      </c>
      <c r="AR11" s="21">
        <v>9850113</v>
      </c>
      <c r="AS11" s="21">
        <v>3334500</v>
      </c>
      <c r="AT11" s="21">
        <v>7035795</v>
      </c>
      <c r="AU11" s="115"/>
      <c r="AV11" s="21"/>
      <c r="AW11" s="30"/>
      <c r="AX11" s="30"/>
    </row>
    <row r="12" spans="1:54" ht="87.75" customHeight="1" x14ac:dyDescent="0.2">
      <c r="A12" s="163">
        <v>1</v>
      </c>
      <c r="B12" s="164" t="s">
        <v>259</v>
      </c>
      <c r="C12" s="163" t="s">
        <v>260</v>
      </c>
      <c r="D12" s="163"/>
      <c r="E12" s="163">
        <v>2</v>
      </c>
      <c r="F12" s="163"/>
      <c r="G12" s="163">
        <v>2</v>
      </c>
      <c r="H12" s="163"/>
      <c r="I12" s="163">
        <v>2</v>
      </c>
      <c r="J12" s="119" t="s">
        <v>6</v>
      </c>
      <c r="K12" s="64" t="s">
        <v>18</v>
      </c>
      <c r="L12" s="149" t="s">
        <v>138</v>
      </c>
      <c r="M12" s="28"/>
      <c r="N12" s="28">
        <v>4</v>
      </c>
      <c r="O12" s="28"/>
      <c r="P12" s="28">
        <v>4</v>
      </c>
      <c r="Q12" s="29">
        <f>'Lương ngày'!$J$32</f>
        <v>760707.75</v>
      </c>
      <c r="R12" s="29">
        <f>'Lương ngày'!$J$67</f>
        <v>838553.90384615387</v>
      </c>
      <c r="S12" s="29">
        <f t="shared" ref="S12:S15" si="12">M12*Q12</f>
        <v>0</v>
      </c>
      <c r="T12" s="29">
        <f t="shared" ref="T12:T15" si="13">N12*R12</f>
        <v>3354215.6153846155</v>
      </c>
      <c r="U12" s="29">
        <f t="shared" ref="U12:U15" si="14">O12*Q12</f>
        <v>0</v>
      </c>
      <c r="V12" s="29">
        <f t="shared" ref="V12:V15" si="15">P12*R12</f>
        <v>3354215.6153846155</v>
      </c>
      <c r="W12" s="233">
        <f>heso!$E$10</f>
        <v>2.19</v>
      </c>
      <c r="X12" s="233">
        <v>1</v>
      </c>
      <c r="Y12" s="233">
        <v>1</v>
      </c>
      <c r="Z12" s="233">
        <v>1</v>
      </c>
      <c r="AA12" s="233">
        <v>1</v>
      </c>
      <c r="AB12" s="230">
        <f>ROUND(S12*W12*X12*Y12*Z12*AA12,0)</f>
        <v>0</v>
      </c>
      <c r="AC12" s="230">
        <f>ROUND(T12*W12*X12*Y12*Z12*AA12,0)</f>
        <v>7345732</v>
      </c>
      <c r="AD12" s="230">
        <f>ROUND(U12*W12*X12*Y12*Z12*AA12,0)</f>
        <v>0</v>
      </c>
      <c r="AE12" s="230">
        <f>ROUND(V12*W12*X12*Y12*Z12*AA12,0)</f>
        <v>7345732</v>
      </c>
      <c r="AF12" s="21"/>
      <c r="AG12" s="21"/>
      <c r="AH12" s="21"/>
      <c r="AI12" s="21"/>
      <c r="AJ12" s="109" t="s">
        <v>6</v>
      </c>
      <c r="AK12" s="110" t="s">
        <v>18</v>
      </c>
      <c r="AL12" s="21" t="s">
        <v>27</v>
      </c>
      <c r="AM12" s="21"/>
      <c r="AN12" s="21">
        <v>2</v>
      </c>
      <c r="AO12" s="21"/>
      <c r="AP12" s="21">
        <v>2</v>
      </c>
      <c r="AQ12" s="21"/>
      <c r="AR12" s="21">
        <v>1407159</v>
      </c>
      <c r="AS12" s="21"/>
      <c r="AT12" s="21">
        <v>1407159</v>
      </c>
      <c r="AU12" s="115"/>
      <c r="AV12" s="271" t="s">
        <v>300</v>
      </c>
      <c r="AW12" s="117" t="s">
        <v>243</v>
      </c>
      <c r="AX12" s="117" t="s">
        <v>228</v>
      </c>
      <c r="AY12" s="20">
        <f t="shared" ref="AY12:AY23" si="16">M12*2</f>
        <v>0</v>
      </c>
      <c r="AZ12" s="20">
        <f t="shared" ref="AZ12:AZ23" si="17">N12*2</f>
        <v>8</v>
      </c>
      <c r="BA12" s="20">
        <f t="shared" ref="BA12:BA23" si="18">O12*2</f>
        <v>0</v>
      </c>
      <c r="BB12" s="20">
        <f t="shared" ref="BB12:BB23" si="19">P12*2</f>
        <v>8</v>
      </c>
    </row>
    <row r="13" spans="1:54" ht="127.5" x14ac:dyDescent="0.2">
      <c r="A13" s="163" t="s">
        <v>7</v>
      </c>
      <c r="B13" s="164" t="s">
        <v>19</v>
      </c>
      <c r="C13" s="163" t="s">
        <v>260</v>
      </c>
      <c r="D13" s="163"/>
      <c r="E13" s="163">
        <v>10</v>
      </c>
      <c r="F13" s="163"/>
      <c r="G13" s="163">
        <v>12</v>
      </c>
      <c r="H13" s="163"/>
      <c r="I13" s="163">
        <v>8</v>
      </c>
      <c r="J13" s="119" t="s">
        <v>7</v>
      </c>
      <c r="K13" s="64" t="s">
        <v>19</v>
      </c>
      <c r="L13" s="149" t="s">
        <v>138</v>
      </c>
      <c r="M13" s="28"/>
      <c r="N13" s="28">
        <v>14</v>
      </c>
      <c r="O13" s="28"/>
      <c r="P13" s="28">
        <v>10</v>
      </c>
      <c r="Q13" s="29">
        <f>'Lương ngày'!$J$32</f>
        <v>760707.75</v>
      </c>
      <c r="R13" s="29">
        <f>'Lương ngày'!$J$67</f>
        <v>838553.90384615387</v>
      </c>
      <c r="S13" s="29">
        <f t="shared" si="12"/>
        <v>0</v>
      </c>
      <c r="T13" s="29">
        <f t="shared" si="13"/>
        <v>11739754.653846154</v>
      </c>
      <c r="U13" s="29">
        <f t="shared" si="14"/>
        <v>0</v>
      </c>
      <c r="V13" s="29">
        <f t="shared" si="15"/>
        <v>8385539.038461539</v>
      </c>
      <c r="W13" s="233">
        <f>heso!$E$10</f>
        <v>2.19</v>
      </c>
      <c r="X13" s="233">
        <v>1</v>
      </c>
      <c r="Y13" s="233">
        <v>1</v>
      </c>
      <c r="Z13" s="233">
        <v>1</v>
      </c>
      <c r="AA13" s="233">
        <v>1</v>
      </c>
      <c r="AB13" s="230">
        <f t="shared" ref="AB13:AB15" si="20">ROUND(S13*W13*X13*Y13*Z13*AA13,0)</f>
        <v>0</v>
      </c>
      <c r="AC13" s="230">
        <f t="shared" ref="AC13:AC15" si="21">ROUND(T13*W13*X13*Y13*Z13*AA13,0)</f>
        <v>25710063</v>
      </c>
      <c r="AD13" s="230">
        <f t="shared" ref="AD13:AD15" si="22">ROUND(U13*W13*X13*Y13*Z13*AA13,0)</f>
        <v>0</v>
      </c>
      <c r="AE13" s="230">
        <f t="shared" ref="AE13:AE15" si="23">ROUND(V13*W13*X13*Y13*Z13*AA13,0)</f>
        <v>18364330</v>
      </c>
      <c r="AF13" s="21"/>
      <c r="AG13" s="21"/>
      <c r="AH13" s="21"/>
      <c r="AI13" s="21"/>
      <c r="AJ13" s="109" t="s">
        <v>7</v>
      </c>
      <c r="AK13" s="110" t="s">
        <v>19</v>
      </c>
      <c r="AL13" s="21" t="s">
        <v>27</v>
      </c>
      <c r="AM13" s="21"/>
      <c r="AN13" s="111">
        <v>12</v>
      </c>
      <c r="AO13" s="111"/>
      <c r="AP13" s="111">
        <v>8</v>
      </c>
      <c r="AQ13" s="21"/>
      <c r="AR13" s="21">
        <v>8442954</v>
      </c>
      <c r="AS13" s="21"/>
      <c r="AT13" s="21">
        <v>5628636</v>
      </c>
      <c r="AU13" s="115"/>
      <c r="AV13" s="271"/>
      <c r="AW13" s="117" t="s">
        <v>215</v>
      </c>
      <c r="AX13" s="117" t="s">
        <v>229</v>
      </c>
      <c r="AY13" s="20">
        <f t="shared" si="16"/>
        <v>0</v>
      </c>
      <c r="AZ13" s="20">
        <f t="shared" si="17"/>
        <v>28</v>
      </c>
      <c r="BA13" s="20">
        <f t="shared" si="18"/>
        <v>0</v>
      </c>
      <c r="BB13" s="20">
        <f t="shared" si="19"/>
        <v>20</v>
      </c>
    </row>
    <row r="14" spans="1:54" ht="63.75" x14ac:dyDescent="0.2">
      <c r="A14" s="163" t="s">
        <v>9</v>
      </c>
      <c r="B14" s="164" t="s">
        <v>261</v>
      </c>
      <c r="C14" s="163" t="s">
        <v>260</v>
      </c>
      <c r="D14" s="163">
        <v>6</v>
      </c>
      <c r="E14" s="163"/>
      <c r="F14" s="163">
        <v>7</v>
      </c>
      <c r="G14" s="163"/>
      <c r="H14" s="163">
        <v>5</v>
      </c>
      <c r="I14" s="163"/>
      <c r="J14" s="119" t="s">
        <v>8</v>
      </c>
      <c r="K14" s="64" t="s">
        <v>20</v>
      </c>
      <c r="L14" s="149" t="s">
        <v>138</v>
      </c>
      <c r="M14" s="28">
        <v>7</v>
      </c>
      <c r="N14" s="28"/>
      <c r="O14" s="28">
        <v>5</v>
      </c>
      <c r="P14" s="28"/>
      <c r="Q14" s="29">
        <f>'Lương ngày'!$J$32</f>
        <v>760707.75</v>
      </c>
      <c r="R14" s="29">
        <f>'Lương ngày'!$J$67</f>
        <v>838553.90384615387</v>
      </c>
      <c r="S14" s="29">
        <f t="shared" si="12"/>
        <v>5324954.25</v>
      </c>
      <c r="T14" s="29">
        <f t="shared" si="13"/>
        <v>0</v>
      </c>
      <c r="U14" s="29">
        <f t="shared" si="14"/>
        <v>3803538.75</v>
      </c>
      <c r="V14" s="29">
        <f t="shared" si="15"/>
        <v>0</v>
      </c>
      <c r="W14" s="233">
        <f>heso!$E$10</f>
        <v>2.19</v>
      </c>
      <c r="X14" s="233">
        <v>1</v>
      </c>
      <c r="Y14" s="233">
        <v>1</v>
      </c>
      <c r="Z14" s="233">
        <v>1</v>
      </c>
      <c r="AA14" s="233">
        <v>1</v>
      </c>
      <c r="AB14" s="230">
        <f t="shared" si="20"/>
        <v>11661650</v>
      </c>
      <c r="AC14" s="230">
        <f t="shared" si="21"/>
        <v>0</v>
      </c>
      <c r="AD14" s="230">
        <f t="shared" si="22"/>
        <v>8329750</v>
      </c>
      <c r="AE14" s="230">
        <f t="shared" si="23"/>
        <v>0</v>
      </c>
      <c r="AF14" s="21"/>
      <c r="AG14" s="21"/>
      <c r="AH14" s="21"/>
      <c r="AI14" s="21"/>
      <c r="AJ14" s="109" t="s">
        <v>8</v>
      </c>
      <c r="AK14" s="110" t="s">
        <v>20</v>
      </c>
      <c r="AL14" s="21" t="s">
        <v>27</v>
      </c>
      <c r="AM14" s="21">
        <v>5</v>
      </c>
      <c r="AN14" s="21"/>
      <c r="AO14" s="21">
        <v>5</v>
      </c>
      <c r="AP14" s="21"/>
      <c r="AQ14" s="21">
        <v>1667250</v>
      </c>
      <c r="AR14" s="21"/>
      <c r="AS14" s="21">
        <v>1667250</v>
      </c>
      <c r="AT14" s="21"/>
      <c r="AU14" s="115"/>
      <c r="AV14" s="110" t="s">
        <v>297</v>
      </c>
      <c r="AW14" s="117" t="s">
        <v>216</v>
      </c>
      <c r="AX14" s="117" t="s">
        <v>230</v>
      </c>
      <c r="AY14" s="20">
        <f t="shared" si="16"/>
        <v>14</v>
      </c>
      <c r="AZ14" s="20">
        <f t="shared" si="17"/>
        <v>0</v>
      </c>
      <c r="BA14" s="20">
        <f t="shared" si="18"/>
        <v>10</v>
      </c>
      <c r="BB14" s="20">
        <f t="shared" si="19"/>
        <v>0</v>
      </c>
    </row>
    <row r="15" spans="1:54" ht="89.25" x14ac:dyDescent="0.2">
      <c r="A15" s="163" t="s">
        <v>8</v>
      </c>
      <c r="B15" s="164" t="s">
        <v>14</v>
      </c>
      <c r="C15" s="163" t="s">
        <v>260</v>
      </c>
      <c r="D15" s="163">
        <v>5</v>
      </c>
      <c r="E15" s="163"/>
      <c r="F15" s="163">
        <v>5</v>
      </c>
      <c r="G15" s="163"/>
      <c r="H15" s="163">
        <v>5</v>
      </c>
      <c r="I15" s="163"/>
      <c r="J15" s="119" t="s">
        <v>9</v>
      </c>
      <c r="K15" s="64" t="s">
        <v>14</v>
      </c>
      <c r="L15" s="149" t="s">
        <v>138</v>
      </c>
      <c r="M15" s="28">
        <v>5</v>
      </c>
      <c r="N15" s="28"/>
      <c r="O15" s="28">
        <v>5</v>
      </c>
      <c r="P15" s="28"/>
      <c r="Q15" s="29">
        <f>'Lương ngày'!$J$32</f>
        <v>760707.75</v>
      </c>
      <c r="R15" s="29">
        <f>'Lương ngày'!$J$67</f>
        <v>838553.90384615387</v>
      </c>
      <c r="S15" s="29">
        <f t="shared" si="12"/>
        <v>3803538.75</v>
      </c>
      <c r="T15" s="29">
        <f t="shared" si="13"/>
        <v>0</v>
      </c>
      <c r="U15" s="29">
        <f t="shared" si="14"/>
        <v>3803538.75</v>
      </c>
      <c r="V15" s="29">
        <f t="shared" si="15"/>
        <v>0</v>
      </c>
      <c r="W15" s="233">
        <f>heso!$E$10</f>
        <v>2.19</v>
      </c>
      <c r="X15" s="233">
        <v>1</v>
      </c>
      <c r="Y15" s="233">
        <v>1</v>
      </c>
      <c r="Z15" s="233">
        <v>1</v>
      </c>
      <c r="AA15" s="233">
        <v>1</v>
      </c>
      <c r="AB15" s="230">
        <f t="shared" si="20"/>
        <v>8329750</v>
      </c>
      <c r="AC15" s="230">
        <f t="shared" si="21"/>
        <v>0</v>
      </c>
      <c r="AD15" s="230">
        <f t="shared" si="22"/>
        <v>8329750</v>
      </c>
      <c r="AE15" s="230">
        <f t="shared" si="23"/>
        <v>0</v>
      </c>
      <c r="AF15" s="21"/>
      <c r="AG15" s="21"/>
      <c r="AH15" s="21"/>
      <c r="AI15" s="21"/>
      <c r="AJ15" s="109" t="s">
        <v>9</v>
      </c>
      <c r="AK15" s="110" t="s">
        <v>14</v>
      </c>
      <c r="AL15" s="21" t="s">
        <v>27</v>
      </c>
      <c r="AM15" s="21">
        <v>7</v>
      </c>
      <c r="AN15" s="21"/>
      <c r="AO15" s="21">
        <v>5</v>
      </c>
      <c r="AP15" s="21"/>
      <c r="AQ15" s="21">
        <v>2334150</v>
      </c>
      <c r="AR15" s="21"/>
      <c r="AS15" s="21">
        <v>1667250</v>
      </c>
      <c r="AT15" s="21"/>
      <c r="AU15" s="115"/>
      <c r="AV15" s="110" t="s">
        <v>297</v>
      </c>
      <c r="AW15" s="117" t="s">
        <v>217</v>
      </c>
      <c r="AX15" s="117" t="s">
        <v>236</v>
      </c>
      <c r="AY15" s="20">
        <f t="shared" si="16"/>
        <v>10</v>
      </c>
      <c r="AZ15" s="20">
        <f t="shared" si="17"/>
        <v>0</v>
      </c>
      <c r="BA15" s="20">
        <f t="shared" si="18"/>
        <v>10</v>
      </c>
      <c r="BB15" s="20">
        <f t="shared" si="19"/>
        <v>0</v>
      </c>
    </row>
    <row r="16" spans="1:54" ht="84" customHeight="1" x14ac:dyDescent="0.2">
      <c r="A16" s="166">
        <v>3</v>
      </c>
      <c r="B16" s="167" t="s">
        <v>267</v>
      </c>
      <c r="C16" s="165"/>
      <c r="D16" s="165"/>
      <c r="E16" s="165"/>
      <c r="F16" s="165"/>
      <c r="G16" s="165"/>
      <c r="H16" s="165"/>
      <c r="I16" s="165"/>
      <c r="J16" s="165">
        <v>3</v>
      </c>
      <c r="K16" s="63" t="s">
        <v>121</v>
      </c>
      <c r="L16" s="161"/>
      <c r="M16" s="28"/>
      <c r="N16" s="28"/>
      <c r="O16" s="28"/>
      <c r="P16" s="28"/>
      <c r="Q16" s="28"/>
      <c r="R16" s="28"/>
      <c r="S16" s="56">
        <f>SUM(S17:S18)</f>
        <v>9128493</v>
      </c>
      <c r="T16" s="56">
        <f t="shared" ref="T16:V16" si="24">SUM(T17:T18)</f>
        <v>0</v>
      </c>
      <c r="U16" s="56">
        <f t="shared" si="24"/>
        <v>4564246.5</v>
      </c>
      <c r="V16" s="56">
        <f t="shared" si="24"/>
        <v>0</v>
      </c>
      <c r="W16" s="233"/>
      <c r="X16" s="233"/>
      <c r="Y16" s="235"/>
      <c r="Z16" s="235"/>
      <c r="AA16" s="235"/>
      <c r="AB16" s="56">
        <f>SUM(AB17:AB18)</f>
        <v>19991400</v>
      </c>
      <c r="AC16" s="56">
        <f t="shared" ref="AC16:AE16" si="25">SUM(AC17:AC18)</f>
        <v>0</v>
      </c>
      <c r="AD16" s="56">
        <f t="shared" si="25"/>
        <v>9995700</v>
      </c>
      <c r="AE16" s="56">
        <f t="shared" si="25"/>
        <v>0</v>
      </c>
      <c r="AF16" s="21"/>
      <c r="AG16" s="21"/>
      <c r="AH16" s="21"/>
      <c r="AI16" s="21"/>
      <c r="AJ16" s="109">
        <v>3</v>
      </c>
      <c r="AK16" s="110" t="s">
        <v>121</v>
      </c>
      <c r="AL16" s="21"/>
      <c r="AM16" s="21"/>
      <c r="AN16" s="21"/>
      <c r="AO16" s="21"/>
      <c r="AP16" s="21"/>
      <c r="AQ16" s="21">
        <v>4001400</v>
      </c>
      <c r="AR16" s="21">
        <v>0</v>
      </c>
      <c r="AS16" s="21">
        <v>2000700</v>
      </c>
      <c r="AT16" s="21">
        <v>0</v>
      </c>
      <c r="AU16" s="115"/>
      <c r="AV16" s="21"/>
      <c r="AW16" s="117"/>
      <c r="AX16" s="117"/>
      <c r="AY16" s="20">
        <f t="shared" si="16"/>
        <v>0</v>
      </c>
      <c r="AZ16" s="20">
        <f t="shared" si="17"/>
        <v>0</v>
      </c>
      <c r="BA16" s="20">
        <f t="shared" si="18"/>
        <v>0</v>
      </c>
      <c r="BB16" s="20">
        <f t="shared" si="19"/>
        <v>0</v>
      </c>
    </row>
    <row r="17" spans="1:55" ht="140.25" x14ac:dyDescent="0.2">
      <c r="A17" s="163" t="s">
        <v>10</v>
      </c>
      <c r="B17" s="164" t="s">
        <v>262</v>
      </c>
      <c r="C17" s="163" t="s">
        <v>260</v>
      </c>
      <c r="D17" s="163">
        <v>6</v>
      </c>
      <c r="E17" s="163"/>
      <c r="F17" s="163">
        <v>8</v>
      </c>
      <c r="G17" s="163"/>
      <c r="H17" s="163">
        <v>4</v>
      </c>
      <c r="I17" s="163"/>
      <c r="J17" s="119" t="s">
        <v>10</v>
      </c>
      <c r="K17" s="64" t="s">
        <v>15</v>
      </c>
      <c r="L17" s="149" t="s">
        <v>138</v>
      </c>
      <c r="M17" s="28">
        <v>8</v>
      </c>
      <c r="N17" s="28"/>
      <c r="O17" s="28">
        <v>4</v>
      </c>
      <c r="P17" s="28"/>
      <c r="Q17" s="29">
        <f>'Lương ngày'!$J$32</f>
        <v>760707.75</v>
      </c>
      <c r="R17" s="29">
        <f>'Lương ngày'!$J$67</f>
        <v>838553.90384615387</v>
      </c>
      <c r="S17" s="29">
        <f t="shared" ref="S17:S18" si="26">M17*Q17</f>
        <v>6085662</v>
      </c>
      <c r="T17" s="29">
        <f t="shared" ref="T17:T18" si="27">N17*R17</f>
        <v>0</v>
      </c>
      <c r="U17" s="29">
        <f t="shared" ref="U17:U18" si="28">O17*Q17</f>
        <v>3042831</v>
      </c>
      <c r="V17" s="29">
        <f t="shared" ref="V17:V18" si="29">P17*R17</f>
        <v>0</v>
      </c>
      <c r="W17" s="233">
        <f>heso!$E$10</f>
        <v>2.19</v>
      </c>
      <c r="X17" s="233">
        <v>1</v>
      </c>
      <c r="Y17" s="233">
        <v>1</v>
      </c>
      <c r="Z17" s="233">
        <v>1</v>
      </c>
      <c r="AA17" s="233">
        <v>1</v>
      </c>
      <c r="AB17" s="230">
        <f t="shared" ref="AB17:AB18" si="30">ROUND(S17*W17*X17*Y17*Z17*AA17,0)</f>
        <v>13327600</v>
      </c>
      <c r="AC17" s="230">
        <f t="shared" ref="AC17:AC18" si="31">ROUND(T17*W17*X17*Y17*Z17*AA17,0)</f>
        <v>0</v>
      </c>
      <c r="AD17" s="230">
        <f t="shared" ref="AD17:AD18" si="32">ROUND(U17*W17*X17*Y17*Z17*AA17,0)</f>
        <v>6663800</v>
      </c>
      <c r="AE17" s="230">
        <f t="shared" ref="AE17:AE18" si="33">ROUND(V17*W17*X17*Y17*Z17*AA17,0)</f>
        <v>0</v>
      </c>
      <c r="AF17" s="21"/>
      <c r="AG17" s="21"/>
      <c r="AH17" s="21"/>
      <c r="AI17" s="21"/>
      <c r="AJ17" s="109" t="s">
        <v>10</v>
      </c>
      <c r="AK17" s="110" t="s">
        <v>15</v>
      </c>
      <c r="AL17" s="21" t="s">
        <v>27</v>
      </c>
      <c r="AM17" s="21">
        <v>8</v>
      </c>
      <c r="AN17" s="21"/>
      <c r="AO17" s="21">
        <v>4</v>
      </c>
      <c r="AP17" s="21"/>
      <c r="AQ17" s="21">
        <v>2667600</v>
      </c>
      <c r="AR17" s="21"/>
      <c r="AS17" s="21">
        <v>1333800</v>
      </c>
      <c r="AT17" s="21"/>
      <c r="AU17" s="115"/>
      <c r="AV17" s="110" t="s">
        <v>297</v>
      </c>
      <c r="AW17" s="117" t="s">
        <v>218</v>
      </c>
      <c r="AX17" s="117" t="s">
        <v>231</v>
      </c>
      <c r="AY17" s="20">
        <f t="shared" si="16"/>
        <v>16</v>
      </c>
      <c r="AZ17" s="20">
        <f t="shared" si="17"/>
        <v>0</v>
      </c>
      <c r="BA17" s="20">
        <f t="shared" si="18"/>
        <v>8</v>
      </c>
      <c r="BB17" s="20">
        <f t="shared" si="19"/>
        <v>0</v>
      </c>
    </row>
    <row r="18" spans="1:55" ht="102" x14ac:dyDescent="0.2">
      <c r="A18" s="21"/>
      <c r="B18" s="21"/>
      <c r="C18" s="163"/>
      <c r="D18" s="163"/>
      <c r="E18" s="163"/>
      <c r="F18" s="163"/>
      <c r="G18" s="163"/>
      <c r="H18" s="163"/>
      <c r="I18" s="163"/>
      <c r="J18" s="119" t="s">
        <v>11</v>
      </c>
      <c r="K18" s="64" t="s">
        <v>21</v>
      </c>
      <c r="L18" s="149" t="s">
        <v>138</v>
      </c>
      <c r="M18" s="28">
        <v>4</v>
      </c>
      <c r="N18" s="28"/>
      <c r="O18" s="28">
        <v>2</v>
      </c>
      <c r="P18" s="28"/>
      <c r="Q18" s="29">
        <f>'Lương ngày'!$J$32</f>
        <v>760707.75</v>
      </c>
      <c r="R18" s="29">
        <f>'Lương ngày'!$J$67</f>
        <v>838553.90384615387</v>
      </c>
      <c r="S18" s="29">
        <f t="shared" si="26"/>
        <v>3042831</v>
      </c>
      <c r="T18" s="29">
        <f t="shared" si="27"/>
        <v>0</v>
      </c>
      <c r="U18" s="29">
        <f t="shared" si="28"/>
        <v>1521415.5</v>
      </c>
      <c r="V18" s="29">
        <f t="shared" si="29"/>
        <v>0</v>
      </c>
      <c r="W18" s="233">
        <f>heso!$E$10</f>
        <v>2.19</v>
      </c>
      <c r="X18" s="233">
        <v>1</v>
      </c>
      <c r="Y18" s="233">
        <v>1</v>
      </c>
      <c r="Z18" s="233">
        <v>1</v>
      </c>
      <c r="AA18" s="233">
        <v>1</v>
      </c>
      <c r="AB18" s="230">
        <f t="shared" si="30"/>
        <v>6663800</v>
      </c>
      <c r="AC18" s="230">
        <f t="shared" si="31"/>
        <v>0</v>
      </c>
      <c r="AD18" s="230">
        <f t="shared" si="32"/>
        <v>3331900</v>
      </c>
      <c r="AE18" s="230">
        <f t="shared" si="33"/>
        <v>0</v>
      </c>
      <c r="AF18" s="21"/>
      <c r="AG18" s="21"/>
      <c r="AH18" s="21"/>
      <c r="AI18" s="21"/>
      <c r="AJ18" s="109" t="s">
        <v>11</v>
      </c>
      <c r="AK18" s="110" t="s">
        <v>21</v>
      </c>
      <c r="AL18" s="21" t="s">
        <v>27</v>
      </c>
      <c r="AM18" s="21">
        <v>4</v>
      </c>
      <c r="AN18" s="21"/>
      <c r="AO18" s="21">
        <v>2</v>
      </c>
      <c r="AP18" s="21"/>
      <c r="AQ18" s="21">
        <v>1333800</v>
      </c>
      <c r="AR18" s="21"/>
      <c r="AS18" s="21">
        <v>666900</v>
      </c>
      <c r="AT18" s="21"/>
      <c r="AU18" s="115"/>
      <c r="AV18" s="117" t="s">
        <v>299</v>
      </c>
      <c r="AW18" s="117"/>
      <c r="AX18" s="117" t="s">
        <v>232</v>
      </c>
      <c r="AY18" s="20">
        <f t="shared" si="16"/>
        <v>8</v>
      </c>
      <c r="AZ18" s="20">
        <f t="shared" si="17"/>
        <v>0</v>
      </c>
      <c r="BA18" s="20">
        <f t="shared" si="18"/>
        <v>4</v>
      </c>
      <c r="BB18" s="20">
        <f t="shared" si="19"/>
        <v>0</v>
      </c>
    </row>
    <row r="19" spans="1:55" ht="48" customHeight="1" x14ac:dyDescent="0.2">
      <c r="A19" s="165"/>
      <c r="B19" s="165"/>
      <c r="C19" s="165"/>
      <c r="D19" s="165"/>
      <c r="E19" s="165"/>
      <c r="F19" s="165"/>
      <c r="G19" s="165"/>
      <c r="H19" s="165"/>
      <c r="I19" s="165"/>
      <c r="J19" s="165">
        <v>4</v>
      </c>
      <c r="K19" s="63" t="s">
        <v>122</v>
      </c>
      <c r="L19" s="162"/>
      <c r="M19" s="28"/>
      <c r="N19" s="28"/>
      <c r="O19" s="28"/>
      <c r="P19" s="28"/>
      <c r="Q19" s="28"/>
      <c r="R19" s="28"/>
      <c r="S19" s="56">
        <f>SUM(S20:S22)</f>
        <v>7607077.5</v>
      </c>
      <c r="T19" s="56">
        <f t="shared" ref="T19:V19" si="34">SUM(T20:T22)</f>
        <v>0</v>
      </c>
      <c r="U19" s="56">
        <f t="shared" si="34"/>
        <v>7607077.5</v>
      </c>
      <c r="V19" s="56">
        <f t="shared" si="34"/>
        <v>0</v>
      </c>
      <c r="W19" s="233"/>
      <c r="X19" s="233"/>
      <c r="Y19" s="235"/>
      <c r="Z19" s="235"/>
      <c r="AA19" s="235"/>
      <c r="AB19" s="56">
        <f>SUM(AB20:AB22)</f>
        <v>7607078</v>
      </c>
      <c r="AC19" s="56">
        <f t="shared" ref="AC19:AE19" si="35">SUM(AC20:AC22)</f>
        <v>0</v>
      </c>
      <c r="AD19" s="56">
        <f t="shared" si="35"/>
        <v>7607078</v>
      </c>
      <c r="AE19" s="56">
        <f t="shared" si="35"/>
        <v>0</v>
      </c>
      <c r="AF19" s="21"/>
      <c r="AG19" s="21"/>
      <c r="AH19" s="21"/>
      <c r="AI19" s="21"/>
      <c r="AJ19" s="109">
        <v>4</v>
      </c>
      <c r="AK19" s="110" t="s">
        <v>122</v>
      </c>
      <c r="AL19" s="21"/>
      <c r="AM19" s="21"/>
      <c r="AN19" s="21"/>
      <c r="AO19" s="21"/>
      <c r="AP19" s="21"/>
      <c r="AQ19" s="21">
        <v>3334500</v>
      </c>
      <c r="AR19" s="21">
        <v>0</v>
      </c>
      <c r="AS19" s="21">
        <v>3334500</v>
      </c>
      <c r="AT19" s="21">
        <v>0</v>
      </c>
      <c r="AU19" s="115"/>
      <c r="AV19" s="21"/>
      <c r="AW19" s="117"/>
      <c r="AX19" s="117"/>
      <c r="AY19" s="20">
        <f t="shared" si="16"/>
        <v>0</v>
      </c>
      <c r="AZ19" s="20">
        <f t="shared" si="17"/>
        <v>0</v>
      </c>
      <c r="BA19" s="20">
        <f t="shared" si="18"/>
        <v>0</v>
      </c>
      <c r="BB19" s="20">
        <f t="shared" si="19"/>
        <v>0</v>
      </c>
    </row>
    <row r="20" spans="1:55" ht="96.75" customHeight="1" x14ac:dyDescent="0.2">
      <c r="A20" s="163" t="s">
        <v>11</v>
      </c>
      <c r="B20" s="164" t="s">
        <v>263</v>
      </c>
      <c r="C20" s="163" t="s">
        <v>260</v>
      </c>
      <c r="D20" s="163">
        <v>3</v>
      </c>
      <c r="E20" s="163"/>
      <c r="F20" s="163">
        <v>4</v>
      </c>
      <c r="G20" s="163"/>
      <c r="H20" s="163">
        <v>2</v>
      </c>
      <c r="I20" s="163"/>
      <c r="J20" s="119" t="s">
        <v>123</v>
      </c>
      <c r="K20" s="64" t="s">
        <v>16</v>
      </c>
      <c r="L20" s="149" t="s">
        <v>138</v>
      </c>
      <c r="M20" s="28">
        <v>5</v>
      </c>
      <c r="N20" s="28"/>
      <c r="O20" s="28">
        <v>5</v>
      </c>
      <c r="P20" s="28"/>
      <c r="Q20" s="29">
        <f>'Lương ngày'!$J$32</f>
        <v>760707.75</v>
      </c>
      <c r="R20" s="29">
        <f>'Lương ngày'!$J$67</f>
        <v>838553.90384615387</v>
      </c>
      <c r="S20" s="29">
        <f t="shared" ref="S20:S22" si="36">M20*Q20</f>
        <v>3803538.75</v>
      </c>
      <c r="T20" s="29">
        <f t="shared" ref="T20:T22" si="37">N20*R20</f>
        <v>0</v>
      </c>
      <c r="U20" s="29">
        <f t="shared" ref="U20:U22" si="38">O20*Q20</f>
        <v>3803538.75</v>
      </c>
      <c r="V20" s="29">
        <f t="shared" ref="V20:V22" si="39">P20*R20</f>
        <v>0</v>
      </c>
      <c r="W20" s="233">
        <v>1</v>
      </c>
      <c r="X20" s="233">
        <v>1</v>
      </c>
      <c r="Y20" s="233">
        <v>1</v>
      </c>
      <c r="Z20" s="233">
        <v>1</v>
      </c>
      <c r="AA20" s="233">
        <v>1</v>
      </c>
      <c r="AB20" s="230">
        <f t="shared" ref="AB20:AB22" si="40">ROUND(S20*W20*X20*Y20*Z20*AA20,0)</f>
        <v>3803539</v>
      </c>
      <c r="AC20" s="230">
        <f t="shared" ref="AC20:AC22" si="41">ROUND(T20*W20*X20*Y20*Z20*AA20,0)</f>
        <v>0</v>
      </c>
      <c r="AD20" s="230">
        <f t="shared" ref="AD20:AD22" si="42">ROUND(U20*W20*X20*Y20*Z20*AA20,0)</f>
        <v>3803539</v>
      </c>
      <c r="AE20" s="230">
        <f t="shared" ref="AE20:AE22" si="43">ROUND(V20*W20*X20*Y20*Z20*AA20,0)</f>
        <v>0</v>
      </c>
      <c r="AF20" s="21"/>
      <c r="AG20" s="21"/>
      <c r="AH20" s="21"/>
      <c r="AI20" s="21"/>
      <c r="AJ20" s="109" t="s">
        <v>123</v>
      </c>
      <c r="AK20" s="110" t="s">
        <v>16</v>
      </c>
      <c r="AL20" s="21" t="s">
        <v>27</v>
      </c>
      <c r="AM20" s="21">
        <v>5</v>
      </c>
      <c r="AN20" s="21"/>
      <c r="AO20" s="21">
        <v>5</v>
      </c>
      <c r="AP20" s="21"/>
      <c r="AQ20" s="21">
        <v>1667250</v>
      </c>
      <c r="AR20" s="21"/>
      <c r="AS20" s="21">
        <v>1667250</v>
      </c>
      <c r="AT20" s="21"/>
      <c r="AU20" s="115"/>
      <c r="AV20" s="110" t="s">
        <v>298</v>
      </c>
      <c r="AW20" s="117" t="s">
        <v>214</v>
      </c>
      <c r="AX20" s="117" t="s">
        <v>233</v>
      </c>
      <c r="AY20" s="20">
        <f t="shared" si="16"/>
        <v>10</v>
      </c>
      <c r="AZ20" s="20">
        <f t="shared" si="17"/>
        <v>0</v>
      </c>
      <c r="BA20" s="20">
        <f t="shared" si="18"/>
        <v>10</v>
      </c>
      <c r="BB20" s="20">
        <f t="shared" si="19"/>
        <v>0</v>
      </c>
    </row>
    <row r="21" spans="1:55" ht="63.75" x14ac:dyDescent="0.2">
      <c r="A21" s="163" t="s">
        <v>240</v>
      </c>
      <c r="B21" s="164" t="s">
        <v>17</v>
      </c>
      <c r="C21" s="163" t="s">
        <v>260</v>
      </c>
      <c r="D21" s="163">
        <v>3</v>
      </c>
      <c r="E21" s="163"/>
      <c r="F21" s="163">
        <v>3</v>
      </c>
      <c r="G21" s="163"/>
      <c r="H21" s="163">
        <v>3</v>
      </c>
      <c r="I21" s="163"/>
      <c r="J21" s="119" t="s">
        <v>124</v>
      </c>
      <c r="K21" s="64" t="s">
        <v>17</v>
      </c>
      <c r="L21" s="149" t="s">
        <v>138</v>
      </c>
      <c r="M21" s="28">
        <v>3</v>
      </c>
      <c r="N21" s="28"/>
      <c r="O21" s="28">
        <v>3</v>
      </c>
      <c r="P21" s="28"/>
      <c r="Q21" s="29">
        <f>'Lương ngày'!$J$32</f>
        <v>760707.75</v>
      </c>
      <c r="R21" s="29">
        <f>'Lương ngày'!$J$67</f>
        <v>838553.90384615387</v>
      </c>
      <c r="S21" s="29">
        <f t="shared" si="36"/>
        <v>2282123.25</v>
      </c>
      <c r="T21" s="29">
        <f t="shared" si="37"/>
        <v>0</v>
      </c>
      <c r="U21" s="29">
        <f t="shared" si="38"/>
        <v>2282123.25</v>
      </c>
      <c r="V21" s="29">
        <f t="shared" si="39"/>
        <v>0</v>
      </c>
      <c r="W21" s="233">
        <v>1</v>
      </c>
      <c r="X21" s="233">
        <v>1</v>
      </c>
      <c r="Y21" s="233">
        <v>1</v>
      </c>
      <c r="Z21" s="233">
        <v>1</v>
      </c>
      <c r="AA21" s="233">
        <v>1</v>
      </c>
      <c r="AB21" s="230">
        <f t="shared" si="40"/>
        <v>2282123</v>
      </c>
      <c r="AC21" s="230">
        <f t="shared" si="41"/>
        <v>0</v>
      </c>
      <c r="AD21" s="230">
        <f t="shared" si="42"/>
        <v>2282123</v>
      </c>
      <c r="AE21" s="230">
        <f t="shared" si="43"/>
        <v>0</v>
      </c>
      <c r="AF21" s="21"/>
      <c r="AG21" s="21"/>
      <c r="AH21" s="21"/>
      <c r="AI21" s="21"/>
      <c r="AJ21" s="109" t="s">
        <v>124</v>
      </c>
      <c r="AK21" s="110" t="s">
        <v>17</v>
      </c>
      <c r="AL21" s="21" t="s">
        <v>27</v>
      </c>
      <c r="AM21" s="21">
        <v>2</v>
      </c>
      <c r="AN21" s="21"/>
      <c r="AO21" s="21">
        <v>2</v>
      </c>
      <c r="AP21" s="21"/>
      <c r="AQ21" s="21">
        <v>1000350</v>
      </c>
      <c r="AR21" s="21"/>
      <c r="AS21" s="21">
        <v>1000350</v>
      </c>
      <c r="AT21" s="21"/>
      <c r="AU21" s="115"/>
      <c r="AV21" s="110" t="s">
        <v>297</v>
      </c>
      <c r="AW21" s="117" t="s">
        <v>219</v>
      </c>
      <c r="AX21" s="117" t="s">
        <v>234</v>
      </c>
      <c r="AY21" s="20">
        <f t="shared" si="16"/>
        <v>6</v>
      </c>
      <c r="AZ21" s="20">
        <f t="shared" si="17"/>
        <v>0</v>
      </c>
      <c r="BA21" s="20">
        <f t="shared" si="18"/>
        <v>6</v>
      </c>
      <c r="BB21" s="20">
        <f t="shared" si="19"/>
        <v>0</v>
      </c>
    </row>
    <row r="22" spans="1:55" s="23" customFormat="1" ht="63.75" x14ac:dyDescent="0.2">
      <c r="A22" s="163" t="s">
        <v>264</v>
      </c>
      <c r="B22" s="164" t="s">
        <v>265</v>
      </c>
      <c r="C22" s="163" t="s">
        <v>260</v>
      </c>
      <c r="D22" s="163">
        <v>2</v>
      </c>
      <c r="E22" s="163"/>
      <c r="F22" s="163">
        <v>2</v>
      </c>
      <c r="G22" s="163"/>
      <c r="H22" s="163">
        <v>2</v>
      </c>
      <c r="I22" s="163"/>
      <c r="J22" s="119" t="s">
        <v>125</v>
      </c>
      <c r="K22" s="64" t="s">
        <v>22</v>
      </c>
      <c r="L22" s="149" t="s">
        <v>138</v>
      </c>
      <c r="M22" s="28">
        <v>2</v>
      </c>
      <c r="N22" s="28"/>
      <c r="O22" s="28">
        <v>2</v>
      </c>
      <c r="P22" s="61"/>
      <c r="Q22" s="29">
        <f>'Lương ngày'!$J$32</f>
        <v>760707.75</v>
      </c>
      <c r="R22" s="29">
        <f>'Lương ngày'!$J$67</f>
        <v>838553.90384615387</v>
      </c>
      <c r="S22" s="29">
        <f t="shared" si="36"/>
        <v>1521415.5</v>
      </c>
      <c r="T22" s="29">
        <f t="shared" si="37"/>
        <v>0</v>
      </c>
      <c r="U22" s="29">
        <f t="shared" si="38"/>
        <v>1521415.5</v>
      </c>
      <c r="V22" s="29">
        <f t="shared" si="39"/>
        <v>0</v>
      </c>
      <c r="W22" s="233">
        <v>1</v>
      </c>
      <c r="X22" s="233">
        <v>1</v>
      </c>
      <c r="Y22" s="233">
        <v>1</v>
      </c>
      <c r="Z22" s="233">
        <v>1</v>
      </c>
      <c r="AA22" s="233">
        <v>1</v>
      </c>
      <c r="AB22" s="230">
        <f t="shared" si="40"/>
        <v>1521416</v>
      </c>
      <c r="AC22" s="230">
        <f t="shared" si="41"/>
        <v>0</v>
      </c>
      <c r="AD22" s="230">
        <f t="shared" si="42"/>
        <v>1521416</v>
      </c>
      <c r="AE22" s="230">
        <f t="shared" si="43"/>
        <v>0</v>
      </c>
      <c r="AF22" s="112"/>
      <c r="AG22" s="112"/>
      <c r="AH22" s="112"/>
      <c r="AI22" s="112"/>
      <c r="AJ22" s="113" t="s">
        <v>125</v>
      </c>
      <c r="AK22" s="114" t="s">
        <v>22</v>
      </c>
      <c r="AL22" s="112" t="s">
        <v>27</v>
      </c>
      <c r="AM22" s="112">
        <v>2</v>
      </c>
      <c r="AN22" s="112"/>
      <c r="AO22" s="112">
        <v>2</v>
      </c>
      <c r="AP22" s="112"/>
      <c r="AQ22" s="112">
        <v>666900</v>
      </c>
      <c r="AR22" s="112"/>
      <c r="AS22" s="112">
        <v>666900</v>
      </c>
      <c r="AT22" s="112"/>
      <c r="AU22" s="116"/>
      <c r="AV22" s="110" t="s">
        <v>297</v>
      </c>
      <c r="AW22" s="117" t="s">
        <v>220</v>
      </c>
      <c r="AX22" s="117" t="s">
        <v>235</v>
      </c>
      <c r="AY22" s="20">
        <f t="shared" si="16"/>
        <v>4</v>
      </c>
      <c r="AZ22" s="20">
        <f t="shared" si="17"/>
        <v>0</v>
      </c>
      <c r="BA22" s="20">
        <f t="shared" si="18"/>
        <v>4</v>
      </c>
      <c r="BB22" s="20">
        <f t="shared" si="19"/>
        <v>0</v>
      </c>
    </row>
    <row r="23" spans="1:55" ht="89.25" x14ac:dyDescent="0.2">
      <c r="A23" s="166">
        <v>4</v>
      </c>
      <c r="B23" s="167" t="s">
        <v>268</v>
      </c>
      <c r="C23" s="163" t="s">
        <v>260</v>
      </c>
      <c r="D23" s="163">
        <v>3</v>
      </c>
      <c r="E23" s="163"/>
      <c r="F23" s="163">
        <v>3</v>
      </c>
      <c r="G23" s="163"/>
      <c r="H23" s="163">
        <v>3</v>
      </c>
      <c r="I23" s="163"/>
      <c r="J23" s="165">
        <v>5</v>
      </c>
      <c r="K23" s="63" t="s">
        <v>23</v>
      </c>
      <c r="L23" s="28" t="s">
        <v>138</v>
      </c>
      <c r="M23" s="61">
        <v>5</v>
      </c>
      <c r="N23" s="28"/>
      <c r="O23" s="61">
        <v>5</v>
      </c>
      <c r="P23" s="28"/>
      <c r="Q23" s="29">
        <f>'Lương ngày'!$J$32</f>
        <v>760707.75</v>
      </c>
      <c r="R23" s="29">
        <f>'Lương ngày'!$J$67</f>
        <v>838553.90384615387</v>
      </c>
      <c r="S23" s="56">
        <f>M23*('Lương ngày'!$J$11+'Lương ngày'!$J$12)</f>
        <v>4200116.25</v>
      </c>
      <c r="T23" s="56"/>
      <c r="U23" s="56">
        <f>O23*('Lương ngày'!$J$11+'Lương ngày'!$J$12)</f>
        <v>4200116.25</v>
      </c>
      <c r="V23" s="56"/>
      <c r="W23" s="233">
        <v>1</v>
      </c>
      <c r="X23" s="233">
        <v>1</v>
      </c>
      <c r="Y23" s="233">
        <v>1</v>
      </c>
      <c r="Z23" s="233">
        <v>1</v>
      </c>
      <c r="AA23" s="233">
        <v>1</v>
      </c>
      <c r="AB23" s="238">
        <f>ROUND(S23*W23*X23*Y23*Z23*AA23,0)</f>
        <v>4200116</v>
      </c>
      <c r="AC23" s="238">
        <f>ROUND(T23*W23*X23*Y23*Z23*AA23,0)</f>
        <v>0</v>
      </c>
      <c r="AD23" s="238">
        <f>ROUND(U23*W23*X23*Y23*Z23*AA23,0)</f>
        <v>4200116</v>
      </c>
      <c r="AE23" s="238">
        <f>ROUND(V23*W23*X23*Y23*Z23*AA23,0)</f>
        <v>0</v>
      </c>
      <c r="AF23" s="21"/>
      <c r="AG23" s="21"/>
      <c r="AH23" s="21"/>
      <c r="AI23" s="21"/>
      <c r="AJ23" s="109">
        <v>5</v>
      </c>
      <c r="AK23" s="110" t="s">
        <v>23</v>
      </c>
      <c r="AL23" s="21" t="s">
        <v>27</v>
      </c>
      <c r="AM23" s="21">
        <v>5</v>
      </c>
      <c r="AN23" s="21"/>
      <c r="AO23" s="21">
        <v>5</v>
      </c>
      <c r="AP23" s="21"/>
      <c r="AQ23" s="21">
        <v>1667250</v>
      </c>
      <c r="AR23" s="21"/>
      <c r="AS23" s="21">
        <v>1667250</v>
      </c>
      <c r="AT23" s="21"/>
      <c r="AU23" s="21"/>
      <c r="AV23" s="271" t="s">
        <v>297</v>
      </c>
      <c r="AW23" s="117" t="s">
        <v>244</v>
      </c>
      <c r="AX23" s="117" t="s">
        <v>237</v>
      </c>
      <c r="AY23" s="20">
        <f t="shared" si="16"/>
        <v>10</v>
      </c>
      <c r="AZ23" s="20">
        <f t="shared" si="17"/>
        <v>0</v>
      </c>
      <c r="BA23" s="20">
        <f t="shared" si="18"/>
        <v>10</v>
      </c>
      <c r="BB23" s="20">
        <f t="shared" si="19"/>
        <v>0</v>
      </c>
    </row>
    <row r="24" spans="1:55" ht="60" customHeight="1" x14ac:dyDescent="0.2">
      <c r="A24" s="166">
        <v>5</v>
      </c>
      <c r="B24" s="167" t="s">
        <v>269</v>
      </c>
      <c r="C24" s="163" t="s">
        <v>257</v>
      </c>
      <c r="D24" s="163">
        <v>2</v>
      </c>
      <c r="E24" s="163"/>
      <c r="F24" s="163">
        <v>2</v>
      </c>
      <c r="G24" s="163"/>
      <c r="H24" s="163">
        <v>2</v>
      </c>
      <c r="I24" s="163"/>
      <c r="J24" s="132"/>
      <c r="K24" s="21"/>
      <c r="L24" s="28"/>
      <c r="M24" s="61"/>
      <c r="N24" s="28"/>
      <c r="O24" s="61"/>
      <c r="P24" s="28"/>
      <c r="Q24" s="29"/>
      <c r="R24" s="29"/>
      <c r="S24" s="56"/>
      <c r="T24" s="56"/>
      <c r="U24" s="56"/>
      <c r="V24" s="56"/>
      <c r="W24" s="233"/>
      <c r="X24" s="233"/>
      <c r="Y24" s="235"/>
      <c r="Z24" s="235"/>
      <c r="AA24" s="235"/>
      <c r="AB24" s="21"/>
      <c r="AC24" s="21"/>
      <c r="AD24" s="21"/>
      <c r="AE24" s="21"/>
      <c r="AF24" s="21"/>
      <c r="AG24" s="21"/>
      <c r="AH24" s="21"/>
      <c r="AI24" s="21"/>
      <c r="AJ24" s="109"/>
      <c r="AK24" s="110"/>
      <c r="AL24" s="21"/>
      <c r="AM24" s="21"/>
      <c r="AN24" s="21"/>
      <c r="AO24" s="21"/>
      <c r="AP24" s="21"/>
      <c r="AQ24" s="21"/>
      <c r="AR24" s="21"/>
      <c r="AS24" s="21"/>
      <c r="AT24" s="21"/>
      <c r="AU24" s="21"/>
      <c r="AV24" s="271"/>
      <c r="AW24" s="117"/>
      <c r="AX24" s="117"/>
    </row>
    <row r="25" spans="1:55" ht="58.5" customHeight="1" x14ac:dyDescent="0.2">
      <c r="A25" s="169"/>
      <c r="B25" s="170"/>
      <c r="C25" s="171"/>
      <c r="D25" s="20">
        <f>SUM(D9:D24)</f>
        <v>34</v>
      </c>
      <c r="E25" s="20">
        <f t="shared" ref="E25:J25" si="44">SUM(E9:E24)</f>
        <v>12</v>
      </c>
      <c r="F25" s="20">
        <f t="shared" si="44"/>
        <v>38</v>
      </c>
      <c r="G25" s="20">
        <f t="shared" si="44"/>
        <v>14</v>
      </c>
      <c r="H25" s="20">
        <f t="shared" si="44"/>
        <v>30</v>
      </c>
      <c r="I25" s="20">
        <f t="shared" si="44"/>
        <v>10</v>
      </c>
      <c r="J25" s="20">
        <f t="shared" si="44"/>
        <v>14</v>
      </c>
      <c r="M25" s="20">
        <f>SUM(M8:M23)</f>
        <v>46</v>
      </c>
      <c r="N25" s="20">
        <f t="shared" ref="N25:P25" si="45">SUM(N8:N23)</f>
        <v>18</v>
      </c>
      <c r="O25" s="20">
        <f t="shared" si="45"/>
        <v>38</v>
      </c>
      <c r="P25" s="20">
        <f t="shared" si="45"/>
        <v>14</v>
      </c>
      <c r="S25" s="108">
        <f>S23+S19+S16+S11+S7</f>
        <v>32587854.75</v>
      </c>
      <c r="T25" s="108">
        <f>T23+T19+T16+T11+T7</f>
        <v>15093970.26923077</v>
      </c>
      <c r="U25" s="108">
        <f>U23+U19+U16+U11+U7</f>
        <v>26502192.75</v>
      </c>
      <c r="V25" s="108">
        <f>V23+V19+V16+V11+V7</f>
        <v>11739754.653846154</v>
      </c>
      <c r="W25" s="236">
        <f t="shared" ref="W25:AJ25" si="46">W23+W19+W16+W11</f>
        <v>1</v>
      </c>
      <c r="X25" s="236"/>
      <c r="Y25" s="236"/>
      <c r="Z25" s="236"/>
      <c r="AA25" s="236"/>
      <c r="AB25" s="108">
        <f>AB23+AB19+AB16+AB11+AB7</f>
        <v>57316842</v>
      </c>
      <c r="AC25" s="108">
        <f>AC23+AC19+AC16+AC11+AC7</f>
        <v>33055795</v>
      </c>
      <c r="AD25" s="108">
        <f>AD23+AD19+AD16+AD11+AD7</f>
        <v>43989242</v>
      </c>
      <c r="AE25" s="108">
        <f>AE23+AE19+AE16+AE11+AE7</f>
        <v>25710062</v>
      </c>
      <c r="AF25" s="108"/>
      <c r="AG25" s="108"/>
      <c r="AH25" s="108"/>
      <c r="AI25" s="108"/>
      <c r="AJ25" s="108">
        <f t="shared" si="46"/>
        <v>14</v>
      </c>
      <c r="AY25" s="20">
        <f>SUM(AY9:AY23)</f>
        <v>85</v>
      </c>
      <c r="AZ25" s="20">
        <f t="shared" ref="AZ25:BC25" si="47">SUM(AZ9:AZ23)</f>
        <v>36</v>
      </c>
      <c r="BA25" s="20">
        <f t="shared" si="47"/>
        <v>69</v>
      </c>
      <c r="BB25" s="20">
        <f t="shared" si="47"/>
        <v>28</v>
      </c>
      <c r="BC25" s="20">
        <f t="shared" si="47"/>
        <v>0</v>
      </c>
    </row>
    <row r="28" spans="1:55" x14ac:dyDescent="0.2">
      <c r="A28" s="258" t="s">
        <v>0</v>
      </c>
      <c r="B28" s="212"/>
      <c r="C28" s="212"/>
      <c r="D28" s="212"/>
      <c r="E28" s="212"/>
      <c r="F28" s="212"/>
      <c r="G28" s="212"/>
      <c r="H28" s="212"/>
      <c r="I28" s="212"/>
      <c r="J28" s="268" t="s">
        <v>0</v>
      </c>
      <c r="K28" s="259" t="s">
        <v>1</v>
      </c>
      <c r="L28" s="260" t="s">
        <v>103</v>
      </c>
      <c r="M28" s="261"/>
      <c r="N28" s="261"/>
      <c r="O28" s="261"/>
      <c r="P28" s="259" t="s">
        <v>28</v>
      </c>
      <c r="Q28" s="259"/>
      <c r="R28" s="259"/>
      <c r="S28" s="259"/>
      <c r="T28" s="57"/>
      <c r="U28" s="57"/>
    </row>
    <row r="29" spans="1:55" ht="12.75" customHeight="1" x14ac:dyDescent="0.2">
      <c r="A29" s="258"/>
      <c r="B29" s="212"/>
      <c r="C29" s="212"/>
      <c r="D29" s="212"/>
      <c r="E29" s="212"/>
      <c r="F29" s="212"/>
      <c r="G29" s="212"/>
      <c r="H29" s="212"/>
      <c r="I29" s="212"/>
      <c r="J29" s="268"/>
      <c r="K29" s="259"/>
      <c r="L29" s="253" t="s">
        <v>117</v>
      </c>
      <c r="M29" s="253"/>
      <c r="N29" s="253" t="s">
        <v>13</v>
      </c>
      <c r="O29" s="253"/>
      <c r="P29" s="253" t="s">
        <v>117</v>
      </c>
      <c r="Q29" s="253"/>
      <c r="R29" s="253" t="s">
        <v>13</v>
      </c>
      <c r="S29" s="253"/>
      <c r="T29" s="262"/>
      <c r="U29" s="262"/>
    </row>
    <row r="30" spans="1:55" ht="25.5" x14ac:dyDescent="0.2">
      <c r="A30" s="258"/>
      <c r="B30" s="212"/>
      <c r="C30" s="212"/>
      <c r="D30" s="212"/>
      <c r="E30" s="212"/>
      <c r="F30" s="212"/>
      <c r="G30" s="212"/>
      <c r="H30" s="212"/>
      <c r="I30" s="212"/>
      <c r="J30" s="268"/>
      <c r="K30" s="259"/>
      <c r="L30" s="28" t="s">
        <v>4</v>
      </c>
      <c r="M30" s="28" t="s">
        <v>5</v>
      </c>
      <c r="N30" s="28" t="s">
        <v>4</v>
      </c>
      <c r="O30" s="28" t="s">
        <v>5</v>
      </c>
      <c r="P30" s="28" t="s">
        <v>4</v>
      </c>
      <c r="Q30" s="28" t="s">
        <v>5</v>
      </c>
      <c r="R30" s="28" t="s">
        <v>4</v>
      </c>
      <c r="S30" s="28" t="s">
        <v>5</v>
      </c>
      <c r="T30" s="144"/>
      <c r="U30" s="144"/>
    </row>
    <row r="31" spans="1:55" ht="47.25" customHeight="1" x14ac:dyDescent="0.2">
      <c r="A31" s="212"/>
      <c r="B31" s="212"/>
      <c r="C31" s="212"/>
      <c r="D31" s="212"/>
      <c r="E31" s="212"/>
      <c r="F31" s="212"/>
      <c r="G31" s="212"/>
      <c r="H31" s="212"/>
      <c r="I31" s="212"/>
      <c r="J31" s="181">
        <v>1</v>
      </c>
      <c r="K31" s="28" t="str">
        <f>K7</f>
        <v>Xác định các yếu tố ảnh hưởng đến giá đất của thửa đất/khu đất cần định giá</v>
      </c>
      <c r="L31" s="28">
        <f>ROUND(SUM(M8:M9)/$M$25*100,2)</f>
        <v>15.22</v>
      </c>
      <c r="M31" s="28">
        <f>ROUND(SUM(N8:N9)/$M$25*100,2)</f>
        <v>0</v>
      </c>
      <c r="N31" s="28">
        <f>ROUND(SUM(O8:O9)/$O$25*100,2)</f>
        <v>18.420000000000002</v>
      </c>
      <c r="O31" s="28">
        <f>ROUND(SUM(P8:P9)/$P$25*100,2)</f>
        <v>0</v>
      </c>
      <c r="P31" s="29">
        <f>ROUND(L31%*$AB$25,0)</f>
        <v>8723623</v>
      </c>
      <c r="Q31" s="29">
        <f>ROUND(M31%*$AC$25,0)</f>
        <v>0</v>
      </c>
      <c r="R31" s="29">
        <f>ROUND(N31%*$AD$25,0)</f>
        <v>8102818</v>
      </c>
      <c r="S31" s="29">
        <f>ROUND(O31%*$AE$25,0)</f>
        <v>0</v>
      </c>
      <c r="T31" s="144"/>
      <c r="U31" s="144"/>
    </row>
    <row r="32" spans="1:55" ht="29.25" customHeight="1" x14ac:dyDescent="0.2">
      <c r="A32" s="144">
        <f>'Dụng cụ'!K36</f>
        <v>2</v>
      </c>
      <c r="B32" s="144"/>
      <c r="C32" s="144"/>
      <c r="D32" s="144"/>
      <c r="E32" s="144"/>
      <c r="F32" s="144"/>
      <c r="G32" s="144"/>
      <c r="H32" s="144"/>
      <c r="I32" s="144"/>
      <c r="J32" s="28">
        <v>2</v>
      </c>
      <c r="K32" s="28" t="str">
        <f>K11</f>
        <v>Thu thập, tổng hợp, phân tích thông tin</v>
      </c>
      <c r="L32" s="28">
        <f>ROUND(SUM(M12:M15)/$M$25*100,2)</f>
        <v>26.09</v>
      </c>
      <c r="M32" s="28">
        <f>ROUND(SUM(N12:N15)/$N$25*100,2)</f>
        <v>100</v>
      </c>
      <c r="N32" s="28">
        <f>ROUND(SUM(O12:O15)/$O$25*100,2)</f>
        <v>26.32</v>
      </c>
      <c r="O32" s="28">
        <f>ROUND(SUM(P12:P15)/$P$25*100,2)</f>
        <v>100</v>
      </c>
      <c r="P32" s="29">
        <f>ROUND(L32%*$AB$25,0)</f>
        <v>14953964</v>
      </c>
      <c r="Q32" s="29">
        <f>ROUND(M32%*$AC$25,0)</f>
        <v>33055795</v>
      </c>
      <c r="R32" s="29">
        <f>ROUND(N32%*$AD$25,0)</f>
        <v>11577968</v>
      </c>
      <c r="S32" s="29">
        <f>ROUND(O32%*$AE$25,0)</f>
        <v>25710062</v>
      </c>
      <c r="T32" s="145"/>
      <c r="U32" s="145"/>
    </row>
    <row r="33" spans="1:50" ht="33" customHeight="1" x14ac:dyDescent="0.2">
      <c r="A33" s="144">
        <f>'Dụng cụ'!K37</f>
        <v>3</v>
      </c>
      <c r="B33" s="144"/>
      <c r="C33" s="144"/>
      <c r="D33" s="144"/>
      <c r="E33" s="144"/>
      <c r="F33" s="144"/>
      <c r="G33" s="144"/>
      <c r="H33" s="144"/>
      <c r="I33" s="144"/>
      <c r="J33" s="181">
        <v>3</v>
      </c>
      <c r="K33" s="28" t="str">
        <f>K16</f>
        <v>Lựa chọn phương pháp định giá đất</v>
      </c>
      <c r="L33" s="28">
        <f>ROUND(SUM(M17:M18)/$M$25*100,2)</f>
        <v>26.09</v>
      </c>
      <c r="M33" s="28">
        <f>ROUND(SUM(N17:N18)/$N$25*100,2)</f>
        <v>0</v>
      </c>
      <c r="N33" s="28">
        <f>ROUND(SUM(O17:O18)/$O$25*100,2)</f>
        <v>15.79</v>
      </c>
      <c r="O33" s="28">
        <f>ROUND(SUM(P17:P18)/$P$25*100,2)</f>
        <v>0</v>
      </c>
      <c r="P33" s="29">
        <f t="shared" ref="P33:P35" si="48">ROUND(L33%*$AB$25,0)</f>
        <v>14953964</v>
      </c>
      <c r="Q33" s="29">
        <f t="shared" ref="Q33:Q35" si="49">ROUND(M33%*$AC$25,0)</f>
        <v>0</v>
      </c>
      <c r="R33" s="29">
        <f t="shared" ref="R33:R35" si="50">ROUND(N33%*$AD$25,0)</f>
        <v>6945901</v>
      </c>
      <c r="S33" s="29">
        <f t="shared" ref="S33:S35" si="51">ROUND(O33%*$AE$25,0)</f>
        <v>0</v>
      </c>
      <c r="T33" s="145"/>
      <c r="U33" s="145"/>
    </row>
    <row r="34" spans="1:50" ht="38.25" x14ac:dyDescent="0.2">
      <c r="A34" s="144">
        <f>'Dụng cụ'!K38</f>
        <v>4</v>
      </c>
      <c r="B34" s="144"/>
      <c r="C34" s="144"/>
      <c r="D34" s="144"/>
      <c r="E34" s="144"/>
      <c r="F34" s="144"/>
      <c r="G34" s="144"/>
      <c r="H34" s="144"/>
      <c r="I34" s="144"/>
      <c r="J34" s="28">
        <v>4</v>
      </c>
      <c r="K34" s="28" t="str">
        <f>K19</f>
        <v>Xây dựng báo cáo thuyết minh xây dựng phương án giá đất, dự thảo chứng thư định giá đất</v>
      </c>
      <c r="L34" s="28">
        <f>ROUND(SUM(M20:M22)/$M$25*100,2)</f>
        <v>21.74</v>
      </c>
      <c r="M34" s="28">
        <f>ROUND(SUM(N20:N22)/$N$25*100,2)</f>
        <v>0</v>
      </c>
      <c r="N34" s="28">
        <f>ROUND(SUM(O20:O22)/$O$25*100,2)</f>
        <v>26.32</v>
      </c>
      <c r="O34" s="28">
        <f>ROUND(SUM(P20:P22)/$P$25*100,2)</f>
        <v>0</v>
      </c>
      <c r="P34" s="29">
        <f t="shared" si="48"/>
        <v>12460681</v>
      </c>
      <c r="Q34" s="29">
        <f t="shared" si="49"/>
        <v>0</v>
      </c>
      <c r="R34" s="29">
        <f t="shared" si="50"/>
        <v>11577968</v>
      </c>
      <c r="S34" s="29">
        <f t="shared" si="51"/>
        <v>0</v>
      </c>
      <c r="T34" s="145"/>
      <c r="U34" s="145"/>
    </row>
    <row r="35" spans="1:50" ht="38.25" x14ac:dyDescent="0.2">
      <c r="A35" s="144">
        <f>'Dụng cụ'!K39</f>
        <v>5</v>
      </c>
      <c r="B35" s="144"/>
      <c r="C35" s="144"/>
      <c r="D35" s="144"/>
      <c r="E35" s="144"/>
      <c r="F35" s="144"/>
      <c r="G35" s="144"/>
      <c r="H35" s="144"/>
      <c r="I35" s="144"/>
      <c r="J35" s="181">
        <v>5</v>
      </c>
      <c r="K35" s="28" t="str">
        <f>K23</f>
        <v>Hoàn thiện báo cáo thuyết minh xây dựng  phương án giá đất và chứng thư định giá đất</v>
      </c>
      <c r="L35" s="28">
        <f>ROUND(SUM(M23)/$M$25*100,2)-0.01</f>
        <v>10.86</v>
      </c>
      <c r="M35" s="28">
        <f>ROUND(SUM(N23)/$N$25*100,2)</f>
        <v>0</v>
      </c>
      <c r="N35" s="28">
        <f>ROUND(SUM(O23)/$O$25*100,2)-0.01</f>
        <v>13.15</v>
      </c>
      <c r="O35" s="28">
        <f>ROUND(SUM(P23)/$P$25*100,2)</f>
        <v>0</v>
      </c>
      <c r="P35" s="29">
        <f t="shared" si="48"/>
        <v>6224609</v>
      </c>
      <c r="Q35" s="29">
        <f t="shared" si="49"/>
        <v>0</v>
      </c>
      <c r="R35" s="29">
        <f t="shared" si="50"/>
        <v>5784585</v>
      </c>
      <c r="S35" s="29">
        <f t="shared" si="51"/>
        <v>0</v>
      </c>
      <c r="T35" s="145"/>
      <c r="U35" s="145"/>
    </row>
    <row r="36" spans="1:50" ht="24" customHeight="1" x14ac:dyDescent="0.2">
      <c r="A36" s="213"/>
      <c r="B36" s="213"/>
      <c r="C36" s="213"/>
      <c r="D36" s="213"/>
      <c r="E36" s="213"/>
      <c r="F36" s="213"/>
      <c r="G36" s="213"/>
      <c r="H36" s="213"/>
      <c r="I36" s="213"/>
      <c r="J36" s="30"/>
      <c r="K36" s="30" t="s">
        <v>29</v>
      </c>
      <c r="L36" s="41">
        <f>SUM(L31:L35)</f>
        <v>100</v>
      </c>
      <c r="M36" s="41">
        <f t="shared" ref="M36:P36" si="52">SUM(M31:M35)</f>
        <v>100</v>
      </c>
      <c r="N36" s="41">
        <f t="shared" si="52"/>
        <v>100</v>
      </c>
      <c r="O36" s="41">
        <f t="shared" si="52"/>
        <v>100</v>
      </c>
      <c r="P36" s="31">
        <f t="shared" si="52"/>
        <v>57316841</v>
      </c>
      <c r="Q36" s="31">
        <f t="shared" ref="Q36" si="53">SUM(Q32:Q35)</f>
        <v>33055795</v>
      </c>
      <c r="R36" s="31">
        <f>SUM(R31:R35)</f>
        <v>43989240</v>
      </c>
      <c r="S36" s="31">
        <f>SUM(S31:S35)</f>
        <v>25710062</v>
      </c>
      <c r="T36" s="32"/>
      <c r="U36" s="32"/>
    </row>
    <row r="41" spans="1:50" ht="102" customHeight="1" x14ac:dyDescent="0.2">
      <c r="K41" s="252" t="s">
        <v>221</v>
      </c>
      <c r="L41" s="252"/>
      <c r="M41" s="252"/>
      <c r="N41" s="252"/>
      <c r="O41" s="252"/>
      <c r="P41" s="252"/>
      <c r="Q41" s="252"/>
      <c r="R41" s="252"/>
      <c r="S41" s="252"/>
      <c r="T41" s="252"/>
      <c r="U41" s="252"/>
      <c r="V41" s="252"/>
      <c r="W41" s="252"/>
      <c r="X41" s="252"/>
      <c r="Y41" s="252"/>
      <c r="Z41" s="252"/>
      <c r="AA41" s="252"/>
      <c r="AB41" s="252"/>
      <c r="AC41" s="252"/>
      <c r="AD41" s="252"/>
      <c r="AE41" s="252"/>
      <c r="AF41" s="252"/>
      <c r="AG41" s="252"/>
      <c r="AH41" s="252"/>
      <c r="AI41" s="252"/>
      <c r="AJ41" s="252"/>
      <c r="AK41" s="252"/>
      <c r="AL41" s="252"/>
      <c r="AM41" s="252"/>
      <c r="AN41" s="252"/>
      <c r="AO41" s="252"/>
      <c r="AP41" s="252"/>
      <c r="AQ41" s="252"/>
      <c r="AR41" s="252"/>
      <c r="AS41" s="252"/>
      <c r="AT41" s="252"/>
      <c r="AU41" s="252"/>
      <c r="AV41" s="252"/>
      <c r="AW41" s="252"/>
      <c r="AX41" s="252"/>
    </row>
  </sheetData>
  <mergeCells count="42">
    <mergeCell ref="AV4:AV6"/>
    <mergeCell ref="AV8:AV9"/>
    <mergeCell ref="AV12:AV13"/>
    <mergeCell ref="AV23:AV24"/>
    <mergeCell ref="F6:G6"/>
    <mergeCell ref="H6:I6"/>
    <mergeCell ref="AB4:AE4"/>
    <mergeCell ref="AB5:AC5"/>
    <mergeCell ref="AD5:AE5"/>
    <mergeCell ref="W4:AA4"/>
    <mergeCell ref="A2:AX2"/>
    <mergeCell ref="P29:Q29"/>
    <mergeCell ref="R29:S29"/>
    <mergeCell ref="P28:S28"/>
    <mergeCell ref="M5:N5"/>
    <mergeCell ref="O5:P5"/>
    <mergeCell ref="A4:A6"/>
    <mergeCell ref="K4:K6"/>
    <mergeCell ref="L4:L6"/>
    <mergeCell ref="M4:P4"/>
    <mergeCell ref="J4:J6"/>
    <mergeCell ref="J28:J30"/>
    <mergeCell ref="B4:B6"/>
    <mergeCell ref="C4:C6"/>
    <mergeCell ref="D4:I4"/>
    <mergeCell ref="D5:I5"/>
    <mergeCell ref="K41:AX41"/>
    <mergeCell ref="AY5:AZ5"/>
    <mergeCell ref="BA5:BB5"/>
    <mergeCell ref="AW4:AX6"/>
    <mergeCell ref="A28:A30"/>
    <mergeCell ref="K28:K30"/>
    <mergeCell ref="L28:O28"/>
    <mergeCell ref="L29:M29"/>
    <mergeCell ref="N29:O29"/>
    <mergeCell ref="T29:U29"/>
    <mergeCell ref="AK4:AK6"/>
    <mergeCell ref="S4:V4"/>
    <mergeCell ref="S5:T5"/>
    <mergeCell ref="U5:V5"/>
    <mergeCell ref="Q4:R5"/>
    <mergeCell ref="D6:E6"/>
  </mergeCells>
  <phoneticPr fontId="3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C41"/>
  <sheetViews>
    <sheetView topLeftCell="H19" zoomScale="85" zoomScaleNormal="85" workbookViewId="0">
      <selection activeCell="AB38" sqref="AB38"/>
    </sheetView>
  </sheetViews>
  <sheetFormatPr defaultColWidth="9.125" defaultRowHeight="12.75" x14ac:dyDescent="0.2"/>
  <cols>
    <col min="1" max="1" width="9.125" style="34"/>
    <col min="2" max="2" width="19.625" style="34" customWidth="1"/>
    <col min="3" max="6" width="9.125" style="34"/>
    <col min="7" max="7" width="10.5" style="34" customWidth="1"/>
    <col min="8" max="10" width="9.125" style="34"/>
    <col min="11" max="11" width="6.5" style="42" customWidth="1"/>
    <col min="12" max="12" width="28" style="34" customWidth="1"/>
    <col min="13" max="13" width="9.5" style="43" customWidth="1"/>
    <col min="14" max="14" width="12.5" style="34" customWidth="1"/>
    <col min="15" max="15" width="13.875" style="34" customWidth="1"/>
    <col min="16" max="16" width="10.125" style="34" customWidth="1"/>
    <col min="17" max="17" width="11" style="20" customWidth="1"/>
    <col min="18" max="18" width="12.375" style="20" customWidth="1"/>
    <col min="19" max="19" width="10.875" style="20" customWidth="1"/>
    <col min="20" max="20" width="12.5" style="24" customWidth="1"/>
    <col min="21" max="21" width="11" style="20" customWidth="1"/>
    <col min="22" max="22" width="12.125" style="20" customWidth="1"/>
    <col min="23" max="23" width="11.125" style="20" customWidth="1"/>
    <col min="24" max="24" width="12.875" style="20" customWidth="1"/>
    <col min="25" max="25" width="22.375" style="20" customWidth="1"/>
    <col min="26" max="26" width="9.125" style="24" customWidth="1"/>
    <col min="27" max="28" width="9.125" style="20" customWidth="1"/>
    <col min="29" max="29" width="15.5" style="34" customWidth="1"/>
    <col min="30" max="16384" width="9.125" style="34"/>
  </cols>
  <sheetData>
    <row r="1" spans="1:29" ht="33.75" customHeight="1" x14ac:dyDescent="0.2">
      <c r="K1" s="283" t="s">
        <v>127</v>
      </c>
      <c r="L1" s="283"/>
      <c r="M1" s="283"/>
      <c r="N1" s="283"/>
      <c r="O1" s="283"/>
      <c r="P1" s="283"/>
      <c r="Q1" s="283"/>
      <c r="R1" s="283"/>
      <c r="S1" s="283"/>
      <c r="T1" s="283"/>
      <c r="U1" s="283"/>
      <c r="V1" s="283"/>
      <c r="W1" s="283"/>
      <c r="X1" s="283"/>
      <c r="Y1" s="33"/>
      <c r="Z1" s="33"/>
      <c r="AA1" s="33"/>
      <c r="AB1" s="33"/>
      <c r="AC1" s="33"/>
    </row>
    <row r="2" spans="1:29" ht="15.75" customHeight="1" x14ac:dyDescent="0.2">
      <c r="A2" s="289" t="s">
        <v>0</v>
      </c>
      <c r="B2" s="289" t="s">
        <v>31</v>
      </c>
      <c r="C2" s="289" t="s">
        <v>97</v>
      </c>
      <c r="D2" s="289" t="s">
        <v>112</v>
      </c>
      <c r="E2" s="259" t="s">
        <v>287</v>
      </c>
      <c r="F2" s="259"/>
      <c r="G2" s="259"/>
      <c r="H2" s="259"/>
      <c r="I2" s="259"/>
      <c r="J2" s="259"/>
      <c r="K2" s="291" t="s">
        <v>0</v>
      </c>
      <c r="L2" s="274" t="s">
        <v>31</v>
      </c>
      <c r="M2" s="274" t="s">
        <v>97</v>
      </c>
      <c r="N2" s="274" t="s">
        <v>112</v>
      </c>
      <c r="O2" s="277" t="s">
        <v>98</v>
      </c>
      <c r="P2" s="280" t="s">
        <v>99</v>
      </c>
      <c r="Q2" s="259" t="s">
        <v>3</v>
      </c>
      <c r="R2" s="259"/>
      <c r="S2" s="259"/>
      <c r="T2" s="259"/>
      <c r="U2" s="259" t="s">
        <v>28</v>
      </c>
      <c r="V2" s="259"/>
      <c r="W2" s="259"/>
      <c r="X2" s="259"/>
      <c r="Y2" s="259" t="s">
        <v>213</v>
      </c>
      <c r="Z2" s="57"/>
      <c r="AA2" s="57"/>
      <c r="AB2" s="57"/>
    </row>
    <row r="3" spans="1:29" ht="18.75" customHeight="1" x14ac:dyDescent="0.2">
      <c r="A3" s="289"/>
      <c r="B3" s="289"/>
      <c r="C3" s="289"/>
      <c r="D3" s="289"/>
      <c r="E3" s="284" t="s">
        <v>137</v>
      </c>
      <c r="F3" s="284"/>
      <c r="G3" s="284"/>
      <c r="H3" s="284"/>
      <c r="I3" s="284"/>
      <c r="J3" s="284"/>
      <c r="K3" s="292"/>
      <c r="L3" s="275"/>
      <c r="M3" s="275"/>
      <c r="N3" s="275"/>
      <c r="O3" s="278"/>
      <c r="P3" s="281"/>
      <c r="Q3" s="284" t="s">
        <v>137</v>
      </c>
      <c r="R3" s="284"/>
      <c r="S3" s="284"/>
      <c r="T3" s="284"/>
      <c r="U3" s="284" t="s">
        <v>137</v>
      </c>
      <c r="V3" s="284"/>
      <c r="W3" s="284"/>
      <c r="X3" s="284"/>
      <c r="Y3" s="259"/>
      <c r="Z3" s="58"/>
      <c r="AA3" s="58"/>
      <c r="AB3" s="58"/>
    </row>
    <row r="4" spans="1:29" ht="25.5" customHeight="1" x14ac:dyDescent="0.2">
      <c r="A4" s="289"/>
      <c r="B4" s="289"/>
      <c r="C4" s="289"/>
      <c r="D4" s="289"/>
      <c r="E4" s="290" t="s">
        <v>252</v>
      </c>
      <c r="F4" s="290"/>
      <c r="G4" s="253" t="s">
        <v>12</v>
      </c>
      <c r="H4" s="253"/>
      <c r="I4" s="253" t="s">
        <v>13</v>
      </c>
      <c r="J4" s="253"/>
      <c r="K4" s="292"/>
      <c r="L4" s="275"/>
      <c r="M4" s="275"/>
      <c r="N4" s="275"/>
      <c r="O4" s="278"/>
      <c r="P4" s="281"/>
      <c r="Q4" s="253" t="s">
        <v>117</v>
      </c>
      <c r="R4" s="253"/>
      <c r="S4" s="253" t="s">
        <v>13</v>
      </c>
      <c r="T4" s="253"/>
      <c r="U4" s="253" t="s">
        <v>117</v>
      </c>
      <c r="V4" s="253"/>
      <c r="W4" s="253" t="s">
        <v>13</v>
      </c>
      <c r="X4" s="253"/>
      <c r="Y4" s="259"/>
      <c r="Z4" s="34"/>
      <c r="AA4" s="34"/>
      <c r="AB4" s="34"/>
    </row>
    <row r="5" spans="1:29" ht="22.5" customHeight="1" x14ac:dyDescent="0.2">
      <c r="A5" s="289"/>
      <c r="B5" s="289"/>
      <c r="C5" s="289"/>
      <c r="D5" s="289"/>
      <c r="E5" s="28" t="s">
        <v>4</v>
      </c>
      <c r="F5" s="28" t="s">
        <v>5</v>
      </c>
      <c r="G5" s="28" t="s">
        <v>4</v>
      </c>
      <c r="H5" s="28" t="s">
        <v>5</v>
      </c>
      <c r="I5" s="28" t="s">
        <v>4</v>
      </c>
      <c r="J5" s="28" t="s">
        <v>5</v>
      </c>
      <c r="K5" s="293"/>
      <c r="L5" s="276"/>
      <c r="M5" s="276"/>
      <c r="N5" s="276"/>
      <c r="O5" s="279"/>
      <c r="P5" s="282"/>
      <c r="Q5" s="28" t="s">
        <v>4</v>
      </c>
      <c r="R5" s="28" t="s">
        <v>5</v>
      </c>
      <c r="S5" s="28" t="s">
        <v>4</v>
      </c>
      <c r="T5" s="28" t="s">
        <v>5</v>
      </c>
      <c r="U5" s="28" t="s">
        <v>4</v>
      </c>
      <c r="V5" s="28" t="s">
        <v>5</v>
      </c>
      <c r="W5" s="28" t="s">
        <v>4</v>
      </c>
      <c r="X5" s="28" t="s">
        <v>5</v>
      </c>
      <c r="Y5" s="259"/>
      <c r="Z5" s="34"/>
      <c r="AA5" s="34"/>
      <c r="AB5" s="34"/>
    </row>
    <row r="6" spans="1:29" hidden="1" x14ac:dyDescent="0.2">
      <c r="A6" s="111"/>
      <c r="B6" s="111"/>
      <c r="C6" s="111"/>
      <c r="D6" s="111"/>
      <c r="E6" s="111"/>
      <c r="F6" s="111"/>
      <c r="G6" s="111"/>
      <c r="H6" s="111"/>
      <c r="I6" s="111"/>
      <c r="J6" s="111"/>
      <c r="K6" s="173"/>
      <c r="L6" s="35"/>
      <c r="M6" s="35"/>
      <c r="N6" s="35"/>
      <c r="O6" s="36"/>
      <c r="P6" s="37">
        <v>26</v>
      </c>
      <c r="Q6" s="28"/>
      <c r="R6" s="28"/>
      <c r="S6" s="28"/>
      <c r="T6" s="28"/>
      <c r="U6" s="28"/>
      <c r="V6" s="28"/>
      <c r="W6" s="28"/>
      <c r="X6" s="28"/>
      <c r="Y6" s="118"/>
      <c r="Z6" s="34"/>
      <c r="AA6" s="34"/>
      <c r="AB6" s="34"/>
    </row>
    <row r="7" spans="1:29" s="101" customFormat="1" ht="17.25" customHeight="1" x14ac:dyDescent="0.2">
      <c r="A7" s="181">
        <v>1</v>
      </c>
      <c r="B7" s="110" t="s">
        <v>37</v>
      </c>
      <c r="C7" s="181" t="s">
        <v>35</v>
      </c>
      <c r="D7" s="181">
        <v>96</v>
      </c>
      <c r="E7" s="181">
        <v>60</v>
      </c>
      <c r="F7" s="181"/>
      <c r="G7" s="181">
        <v>66.400000000000006</v>
      </c>
      <c r="H7" s="181"/>
      <c r="I7" s="181">
        <v>53.6</v>
      </c>
      <c r="J7" s="181"/>
      <c r="K7" s="152">
        <v>1</v>
      </c>
      <c r="L7" s="120" t="s">
        <v>37</v>
      </c>
      <c r="M7" s="119" t="s">
        <v>35</v>
      </c>
      <c r="N7" s="119">
        <v>120</v>
      </c>
      <c r="O7" s="121">
        <f>VLOOKUP(L7,'Đơn giá'!B4:D29,3,0)</f>
        <v>800000</v>
      </c>
      <c r="P7" s="122">
        <f>ROUND(O7/N7/$P$6,0)</f>
        <v>256</v>
      </c>
      <c r="Q7" s="123">
        <f>ROUND('Lao đông'!$AY$25*80%,0)</f>
        <v>68</v>
      </c>
      <c r="R7" s="119"/>
      <c r="S7" s="123">
        <f>ROUND('Lao đông'!$BA$25*80%,0)</f>
        <v>55</v>
      </c>
      <c r="T7" s="119"/>
      <c r="U7" s="121">
        <f>P7*Q7</f>
        <v>17408</v>
      </c>
      <c r="V7" s="121">
        <f t="shared" ref="V7" si="0">P7*R7</f>
        <v>0</v>
      </c>
      <c r="W7" s="121">
        <f>P7*S7</f>
        <v>14080</v>
      </c>
      <c r="X7" s="121">
        <f t="shared" ref="X7" si="1">R7*T7</f>
        <v>0</v>
      </c>
      <c r="Y7" s="182" t="s">
        <v>277</v>
      </c>
    </row>
    <row r="8" spans="1:29" s="101" customFormat="1" ht="21" customHeight="1" x14ac:dyDescent="0.2">
      <c r="A8" s="181">
        <v>2</v>
      </c>
      <c r="B8" s="110" t="s">
        <v>45</v>
      </c>
      <c r="C8" s="181" t="s">
        <v>35</v>
      </c>
      <c r="D8" s="181">
        <v>96</v>
      </c>
      <c r="E8" s="181">
        <v>60</v>
      </c>
      <c r="F8" s="181"/>
      <c r="G8" s="181">
        <v>66.400000000000006</v>
      </c>
      <c r="H8" s="181"/>
      <c r="I8" s="181">
        <v>53.6</v>
      </c>
      <c r="J8" s="181"/>
      <c r="K8" s="152">
        <v>2</v>
      </c>
      <c r="L8" s="120" t="s">
        <v>45</v>
      </c>
      <c r="M8" s="119" t="s">
        <v>35</v>
      </c>
      <c r="N8" s="119">
        <v>120</v>
      </c>
      <c r="O8" s="121">
        <f>VLOOKUP(L8,'Đơn giá'!B5:D30,3,0)</f>
        <v>550000</v>
      </c>
      <c r="P8" s="122">
        <f t="shared" ref="P8:P26" si="2">ROUND(O8/N8/$P$6,0)</f>
        <v>176</v>
      </c>
      <c r="Q8" s="123">
        <f>ROUND('Lao đông'!$AY$25*80%,0)</f>
        <v>68</v>
      </c>
      <c r="R8" s="119"/>
      <c r="S8" s="123">
        <f>ROUND('Lao đông'!$BA$25*80%,0)</f>
        <v>55</v>
      </c>
      <c r="T8" s="119"/>
      <c r="U8" s="121">
        <f t="shared" ref="U8:U26" si="3">P8*Q8</f>
        <v>11968</v>
      </c>
      <c r="V8" s="121">
        <f t="shared" ref="V8:V26" si="4">P8*R8</f>
        <v>0</v>
      </c>
      <c r="W8" s="121">
        <f t="shared" ref="W8:W26" si="5">P8*S8</f>
        <v>9680</v>
      </c>
      <c r="X8" s="121">
        <f t="shared" ref="X8:X26" si="6">R8*T8</f>
        <v>0</v>
      </c>
      <c r="Y8" s="182" t="s">
        <v>277</v>
      </c>
    </row>
    <row r="9" spans="1:29" s="101" customFormat="1" ht="21" customHeight="1" x14ac:dyDescent="0.2">
      <c r="A9" s="181">
        <v>3</v>
      </c>
      <c r="B9" s="110" t="s">
        <v>62</v>
      </c>
      <c r="C9" s="181" t="s">
        <v>35</v>
      </c>
      <c r="D9" s="181">
        <v>96</v>
      </c>
      <c r="E9" s="181">
        <v>15</v>
      </c>
      <c r="F9" s="181"/>
      <c r="G9" s="181">
        <v>16.600000000000001</v>
      </c>
      <c r="H9" s="181"/>
      <c r="I9" s="181">
        <v>13.4</v>
      </c>
      <c r="J9" s="181"/>
      <c r="K9" s="152">
        <v>3</v>
      </c>
      <c r="L9" s="120" t="s">
        <v>62</v>
      </c>
      <c r="M9" s="119" t="s">
        <v>35</v>
      </c>
      <c r="N9" s="119">
        <v>96</v>
      </c>
      <c r="O9" s="121">
        <f>VLOOKUP(L9,'Đơn giá'!B6:D31,3,0)</f>
        <v>2310000</v>
      </c>
      <c r="P9" s="122">
        <f t="shared" si="2"/>
        <v>925</v>
      </c>
      <c r="Q9" s="123">
        <f>ROUND('Lao đông'!$AY$25*80%,0)</f>
        <v>68</v>
      </c>
      <c r="R9" s="119"/>
      <c r="S9" s="123">
        <f>ROUND('Lao đông'!$BA$25*80%,0)</f>
        <v>55</v>
      </c>
      <c r="T9" s="119"/>
      <c r="U9" s="121">
        <f t="shared" si="3"/>
        <v>62900</v>
      </c>
      <c r="V9" s="121">
        <f t="shared" si="4"/>
        <v>0</v>
      </c>
      <c r="W9" s="121">
        <f t="shared" si="5"/>
        <v>50875</v>
      </c>
      <c r="X9" s="121">
        <f t="shared" si="6"/>
        <v>0</v>
      </c>
      <c r="Y9" s="182" t="s">
        <v>277</v>
      </c>
    </row>
    <row r="10" spans="1:29" s="101" customFormat="1" ht="21" customHeight="1" x14ac:dyDescent="0.2">
      <c r="A10" s="181">
        <v>4</v>
      </c>
      <c r="B10" s="110" t="s">
        <v>36</v>
      </c>
      <c r="C10" s="181" t="s">
        <v>35</v>
      </c>
      <c r="D10" s="181">
        <v>24</v>
      </c>
      <c r="E10" s="181">
        <v>30</v>
      </c>
      <c r="F10" s="181"/>
      <c r="G10" s="181">
        <v>33.200000000000003</v>
      </c>
      <c r="H10" s="181"/>
      <c r="I10" s="181">
        <v>26.8</v>
      </c>
      <c r="J10" s="181"/>
      <c r="K10" s="152">
        <v>4</v>
      </c>
      <c r="L10" s="120" t="s">
        <v>36</v>
      </c>
      <c r="M10" s="119" t="s">
        <v>35</v>
      </c>
      <c r="N10" s="119">
        <v>24</v>
      </c>
      <c r="O10" s="121">
        <f>'Đơn giá'!D5</f>
        <v>87000</v>
      </c>
      <c r="P10" s="122">
        <f t="shared" si="2"/>
        <v>139</v>
      </c>
      <c r="Q10" s="123">
        <f>ROUND('Lao đông'!$AY$25*40%,0)</f>
        <v>34</v>
      </c>
      <c r="R10" s="119"/>
      <c r="S10" s="123">
        <f>ROUND('Lao đông'!$BA$25*40%,0)</f>
        <v>28</v>
      </c>
      <c r="T10" s="119"/>
      <c r="U10" s="121">
        <f t="shared" si="3"/>
        <v>4726</v>
      </c>
      <c r="V10" s="121">
        <f t="shared" si="4"/>
        <v>0</v>
      </c>
      <c r="W10" s="121">
        <f t="shared" si="5"/>
        <v>3892</v>
      </c>
      <c r="X10" s="121">
        <f t="shared" si="6"/>
        <v>0</v>
      </c>
      <c r="Y10" s="182" t="s">
        <v>278</v>
      </c>
    </row>
    <row r="11" spans="1:29" s="101" customFormat="1" ht="21" customHeight="1" x14ac:dyDescent="0.2">
      <c r="A11" s="181">
        <v>5</v>
      </c>
      <c r="B11" s="110" t="s">
        <v>56</v>
      </c>
      <c r="C11" s="181" t="s">
        <v>41</v>
      </c>
      <c r="D11" s="181">
        <v>18</v>
      </c>
      <c r="E11" s="181">
        <v>3.75</v>
      </c>
      <c r="F11" s="181"/>
      <c r="G11" s="181">
        <v>4.1500000000000004</v>
      </c>
      <c r="H11" s="181"/>
      <c r="I11" s="181">
        <v>3.35</v>
      </c>
      <c r="J11" s="181"/>
      <c r="K11" s="152">
        <v>5</v>
      </c>
      <c r="L11" s="120" t="s">
        <v>56</v>
      </c>
      <c r="M11" s="119" t="s">
        <v>41</v>
      </c>
      <c r="N11" s="119">
        <v>18</v>
      </c>
      <c r="O11" s="121">
        <f>VLOOKUP(L11,'Đơn giá'!B8:D33,3,0)</f>
        <v>178000</v>
      </c>
      <c r="P11" s="122">
        <f t="shared" si="2"/>
        <v>380</v>
      </c>
      <c r="Q11" s="123"/>
      <c r="R11" s="123">
        <f>'Lao đông'!$AZ$25</f>
        <v>36</v>
      </c>
      <c r="S11" s="123"/>
      <c r="T11" s="119">
        <f>'Lao đông'!$BB$25</f>
        <v>28</v>
      </c>
      <c r="U11" s="121">
        <f t="shared" si="3"/>
        <v>0</v>
      </c>
      <c r="V11" s="121">
        <f t="shared" si="4"/>
        <v>13680</v>
      </c>
      <c r="W11" s="121">
        <f t="shared" si="5"/>
        <v>0</v>
      </c>
      <c r="X11" s="121">
        <f t="shared" si="6"/>
        <v>1008</v>
      </c>
      <c r="Y11" s="182" t="s">
        <v>222</v>
      </c>
    </row>
    <row r="12" spans="1:29" s="101" customFormat="1" ht="21" customHeight="1" x14ac:dyDescent="0.2">
      <c r="A12" s="181">
        <v>6</v>
      </c>
      <c r="B12" s="110" t="s">
        <v>46</v>
      </c>
      <c r="C12" s="181" t="s">
        <v>47</v>
      </c>
      <c r="D12" s="181">
        <v>6</v>
      </c>
      <c r="E12" s="181"/>
      <c r="F12" s="181">
        <v>19.2</v>
      </c>
      <c r="G12" s="181"/>
      <c r="H12" s="181">
        <v>22.4</v>
      </c>
      <c r="I12" s="181"/>
      <c r="J12" s="181">
        <v>16</v>
      </c>
      <c r="K12" s="152">
        <v>6</v>
      </c>
      <c r="L12" s="120" t="s">
        <v>46</v>
      </c>
      <c r="M12" s="119" t="s">
        <v>47</v>
      </c>
      <c r="N12" s="119">
        <v>6</v>
      </c>
      <c r="O12" s="121">
        <f>VLOOKUP(L12,'Đơn giá'!B9:D34,3,0)</f>
        <v>54167</v>
      </c>
      <c r="P12" s="122">
        <f t="shared" si="2"/>
        <v>347</v>
      </c>
      <c r="Q12" s="123"/>
      <c r="R12" s="123">
        <f>'Lao đông'!$AZ$25</f>
        <v>36</v>
      </c>
      <c r="S12" s="119"/>
      <c r="T12" s="119">
        <f>'Lao đông'!$BB$25</f>
        <v>28</v>
      </c>
      <c r="U12" s="121">
        <f t="shared" si="3"/>
        <v>0</v>
      </c>
      <c r="V12" s="121">
        <f t="shared" si="4"/>
        <v>12492</v>
      </c>
      <c r="W12" s="121">
        <f t="shared" si="5"/>
        <v>0</v>
      </c>
      <c r="X12" s="121">
        <f t="shared" si="6"/>
        <v>1008</v>
      </c>
      <c r="Y12" s="182" t="s">
        <v>222</v>
      </c>
    </row>
    <row r="13" spans="1:29" s="101" customFormat="1" ht="21" customHeight="1" x14ac:dyDescent="0.2">
      <c r="A13" s="181">
        <v>7</v>
      </c>
      <c r="B13" s="110" t="s">
        <v>60</v>
      </c>
      <c r="C13" s="181" t="s">
        <v>47</v>
      </c>
      <c r="D13" s="181">
        <v>6</v>
      </c>
      <c r="E13" s="181"/>
      <c r="F13" s="181">
        <v>19.2</v>
      </c>
      <c r="G13" s="181"/>
      <c r="H13" s="181">
        <v>22.4</v>
      </c>
      <c r="I13" s="181"/>
      <c r="J13" s="181">
        <v>16</v>
      </c>
      <c r="K13" s="152">
        <v>7</v>
      </c>
      <c r="L13" s="120" t="s">
        <v>60</v>
      </c>
      <c r="M13" s="119" t="s">
        <v>47</v>
      </c>
      <c r="N13" s="119">
        <v>6</v>
      </c>
      <c r="O13" s="121">
        <f>VLOOKUP(L13,'Đơn giá'!B10:D35,3,0)</f>
        <v>15000</v>
      </c>
      <c r="P13" s="122">
        <f t="shared" si="2"/>
        <v>96</v>
      </c>
      <c r="Q13" s="119"/>
      <c r="R13" s="123">
        <f>'Lao đông'!$AZ$25</f>
        <v>36</v>
      </c>
      <c r="S13" s="119"/>
      <c r="T13" s="119">
        <f>'Lao đông'!$BB$25</f>
        <v>28</v>
      </c>
      <c r="U13" s="121">
        <f t="shared" si="3"/>
        <v>0</v>
      </c>
      <c r="V13" s="121">
        <f t="shared" si="4"/>
        <v>3456</v>
      </c>
      <c r="W13" s="121">
        <f t="shared" si="5"/>
        <v>0</v>
      </c>
      <c r="X13" s="121">
        <f t="shared" si="6"/>
        <v>1008</v>
      </c>
      <c r="Y13" s="182" t="s">
        <v>222</v>
      </c>
    </row>
    <row r="14" spans="1:29" s="101" customFormat="1" ht="21" customHeight="1" x14ac:dyDescent="0.2">
      <c r="A14" s="181">
        <v>8</v>
      </c>
      <c r="B14" s="110" t="s">
        <v>39</v>
      </c>
      <c r="C14" s="181" t="s">
        <v>35</v>
      </c>
      <c r="D14" s="181">
        <v>24</v>
      </c>
      <c r="E14" s="181"/>
      <c r="F14" s="181">
        <v>19.2</v>
      </c>
      <c r="G14" s="181"/>
      <c r="H14" s="181">
        <v>22.4</v>
      </c>
      <c r="I14" s="181"/>
      <c r="J14" s="181">
        <v>16</v>
      </c>
      <c r="K14" s="152">
        <v>8</v>
      </c>
      <c r="L14" s="120" t="s">
        <v>39</v>
      </c>
      <c r="M14" s="119" t="s">
        <v>35</v>
      </c>
      <c r="N14" s="119">
        <v>24</v>
      </c>
      <c r="O14" s="121">
        <f>'Đơn giá'!D8</f>
        <v>6500</v>
      </c>
      <c r="P14" s="122">
        <f t="shared" si="2"/>
        <v>10</v>
      </c>
      <c r="Q14" s="119"/>
      <c r="R14" s="123">
        <f>'Lao đông'!$AZ$25</f>
        <v>36</v>
      </c>
      <c r="S14" s="119"/>
      <c r="T14" s="119">
        <f>'Lao đông'!$BB$25</f>
        <v>28</v>
      </c>
      <c r="U14" s="121">
        <f t="shared" si="3"/>
        <v>0</v>
      </c>
      <c r="V14" s="121">
        <f t="shared" si="4"/>
        <v>360</v>
      </c>
      <c r="W14" s="121">
        <f t="shared" si="5"/>
        <v>0</v>
      </c>
      <c r="X14" s="121">
        <f t="shared" si="6"/>
        <v>1008</v>
      </c>
      <c r="Y14" s="182" t="s">
        <v>222</v>
      </c>
    </row>
    <row r="15" spans="1:29" s="101" customFormat="1" ht="21" customHeight="1" x14ac:dyDescent="0.2">
      <c r="A15" s="181">
        <v>9</v>
      </c>
      <c r="B15" s="110" t="s">
        <v>54</v>
      </c>
      <c r="C15" s="181" t="s">
        <v>35</v>
      </c>
      <c r="D15" s="181">
        <v>12</v>
      </c>
      <c r="E15" s="181"/>
      <c r="F15" s="181">
        <v>19.2</v>
      </c>
      <c r="G15" s="181"/>
      <c r="H15" s="181">
        <v>22.4</v>
      </c>
      <c r="I15" s="181"/>
      <c r="J15" s="181">
        <v>16</v>
      </c>
      <c r="K15" s="152">
        <v>9</v>
      </c>
      <c r="L15" s="120" t="s">
        <v>54</v>
      </c>
      <c r="M15" s="119" t="s">
        <v>35</v>
      </c>
      <c r="N15" s="119">
        <v>12</v>
      </c>
      <c r="O15" s="121">
        <f>VLOOKUP(L15,'Đơn giá'!B12:D37,3,0)</f>
        <v>20000</v>
      </c>
      <c r="P15" s="122">
        <f t="shared" si="2"/>
        <v>64</v>
      </c>
      <c r="Q15" s="119"/>
      <c r="R15" s="123">
        <f>'Lao đông'!$AZ$25</f>
        <v>36</v>
      </c>
      <c r="S15" s="119"/>
      <c r="T15" s="119">
        <f>'Lao đông'!$BB$25</f>
        <v>28</v>
      </c>
      <c r="U15" s="121">
        <f t="shared" si="3"/>
        <v>0</v>
      </c>
      <c r="V15" s="121">
        <f t="shared" si="4"/>
        <v>2304</v>
      </c>
      <c r="W15" s="121">
        <f t="shared" si="5"/>
        <v>0</v>
      </c>
      <c r="X15" s="121">
        <f t="shared" si="6"/>
        <v>1008</v>
      </c>
      <c r="Y15" s="182" t="s">
        <v>222</v>
      </c>
    </row>
    <row r="16" spans="1:29" s="101" customFormat="1" ht="21" customHeight="1" x14ac:dyDescent="0.2">
      <c r="A16" s="181">
        <v>10</v>
      </c>
      <c r="B16" s="110" t="s">
        <v>63</v>
      </c>
      <c r="C16" s="181" t="s">
        <v>35</v>
      </c>
      <c r="D16" s="181">
        <v>12</v>
      </c>
      <c r="E16" s="181"/>
      <c r="F16" s="181">
        <v>19.2</v>
      </c>
      <c r="G16" s="181"/>
      <c r="H16" s="181">
        <v>22.4</v>
      </c>
      <c r="I16" s="181"/>
      <c r="J16" s="181">
        <v>16</v>
      </c>
      <c r="K16" s="152">
        <v>10</v>
      </c>
      <c r="L16" s="120" t="s">
        <v>63</v>
      </c>
      <c r="M16" s="119" t="s">
        <v>35</v>
      </c>
      <c r="N16" s="119">
        <v>12</v>
      </c>
      <c r="O16" s="121">
        <f>VLOOKUP(L16,'Đơn giá'!B13:D38,3,0)</f>
        <v>200000</v>
      </c>
      <c r="P16" s="122">
        <f t="shared" si="2"/>
        <v>641</v>
      </c>
      <c r="Q16" s="119"/>
      <c r="R16" s="123">
        <f>'Lao đông'!$AZ$25</f>
        <v>36</v>
      </c>
      <c r="S16" s="119"/>
      <c r="T16" s="119">
        <f>'Lao đông'!$BB$25</f>
        <v>28</v>
      </c>
      <c r="U16" s="121">
        <f t="shared" si="3"/>
        <v>0</v>
      </c>
      <c r="V16" s="121">
        <f t="shared" si="4"/>
        <v>23076</v>
      </c>
      <c r="W16" s="121">
        <f t="shared" si="5"/>
        <v>0</v>
      </c>
      <c r="X16" s="121">
        <f t="shared" si="6"/>
        <v>1008</v>
      </c>
      <c r="Y16" s="182" t="s">
        <v>223</v>
      </c>
    </row>
    <row r="17" spans="1:29" s="101" customFormat="1" ht="21" customHeight="1" x14ac:dyDescent="0.2">
      <c r="A17" s="181">
        <v>11</v>
      </c>
      <c r="B17" s="110" t="s">
        <v>50</v>
      </c>
      <c r="C17" s="181" t="s">
        <v>35</v>
      </c>
      <c r="D17" s="181">
        <v>60</v>
      </c>
      <c r="E17" s="181">
        <v>60</v>
      </c>
      <c r="F17" s="181"/>
      <c r="G17" s="181">
        <v>66.400000000000006</v>
      </c>
      <c r="H17" s="181"/>
      <c r="I17" s="181">
        <v>53.6</v>
      </c>
      <c r="J17" s="181"/>
      <c r="K17" s="176">
        <v>11</v>
      </c>
      <c r="L17" s="177" t="s">
        <v>50</v>
      </c>
      <c r="M17" s="178" t="s">
        <v>35</v>
      </c>
      <c r="N17" s="178">
        <v>60</v>
      </c>
      <c r="O17" s="121">
        <f>VLOOKUP(L17,'Đơn giá'!B14:D39,3,0)</f>
        <v>960000</v>
      </c>
      <c r="P17" s="122">
        <f t="shared" si="2"/>
        <v>615</v>
      </c>
      <c r="Q17" s="123">
        <f>ROUND('Lao đông'!$AY$25*80%,0)</f>
        <v>68</v>
      </c>
      <c r="R17" s="119"/>
      <c r="S17" s="123">
        <v>48.727272727272727</v>
      </c>
      <c r="T17" s="119"/>
      <c r="U17" s="121">
        <f t="shared" si="3"/>
        <v>41820</v>
      </c>
      <c r="V17" s="121">
        <f t="shared" si="4"/>
        <v>0</v>
      </c>
      <c r="W17" s="121">
        <f t="shared" si="5"/>
        <v>29967.272727272728</v>
      </c>
      <c r="X17" s="121">
        <f t="shared" si="6"/>
        <v>0</v>
      </c>
      <c r="Y17" s="182" t="s">
        <v>276</v>
      </c>
    </row>
    <row r="18" spans="1:29" s="101" customFormat="1" ht="35.25" customHeight="1" x14ac:dyDescent="0.2">
      <c r="A18" s="181">
        <v>12</v>
      </c>
      <c r="B18" s="110" t="s">
        <v>58</v>
      </c>
      <c r="C18" s="181" t="s">
        <v>35</v>
      </c>
      <c r="D18" s="181">
        <v>36</v>
      </c>
      <c r="E18" s="181">
        <v>22.5</v>
      </c>
      <c r="F18" s="181"/>
      <c r="G18" s="181">
        <v>24.9</v>
      </c>
      <c r="H18" s="181"/>
      <c r="I18" s="181">
        <v>20.100000000000001</v>
      </c>
      <c r="J18" s="181"/>
      <c r="K18" s="152">
        <v>12</v>
      </c>
      <c r="L18" s="183" t="s">
        <v>58</v>
      </c>
      <c r="M18" s="184" t="s">
        <v>35</v>
      </c>
      <c r="N18" s="184">
        <v>36</v>
      </c>
      <c r="O18" s="121">
        <f>VLOOKUP(L18,'Đơn giá'!B15:D40,3,0)</f>
        <v>165000</v>
      </c>
      <c r="P18" s="122">
        <f t="shared" si="2"/>
        <v>176</v>
      </c>
      <c r="Q18" s="123">
        <f>ROUND('Lao đông'!AY25/6,0)</f>
        <v>14</v>
      </c>
      <c r="R18" s="119"/>
      <c r="S18" s="123">
        <f>ROUND('Lao đông'!BA25/6,0)</f>
        <v>12</v>
      </c>
      <c r="T18" s="119"/>
      <c r="U18" s="121">
        <f t="shared" si="3"/>
        <v>2464</v>
      </c>
      <c r="V18" s="121">
        <f t="shared" si="4"/>
        <v>0</v>
      </c>
      <c r="W18" s="121">
        <f t="shared" si="5"/>
        <v>2112</v>
      </c>
      <c r="X18" s="121">
        <f t="shared" si="6"/>
        <v>0</v>
      </c>
      <c r="Y18" s="182" t="s">
        <v>242</v>
      </c>
      <c r="Z18" s="126">
        <f>+ROUND(Q18*0.04*8*1.05,2)</f>
        <v>4.7</v>
      </c>
      <c r="AA18" s="126">
        <f>+ROUND(S18*0.04*8*1.05,2)</f>
        <v>4.03</v>
      </c>
    </row>
    <row r="19" spans="1:29" s="101" customFormat="1" ht="21" customHeight="1" x14ac:dyDescent="0.2">
      <c r="A19" s="181">
        <v>13</v>
      </c>
      <c r="B19" s="110" t="s">
        <v>57</v>
      </c>
      <c r="C19" s="181" t="s">
        <v>41</v>
      </c>
      <c r="D19" s="181">
        <v>6</v>
      </c>
      <c r="E19" s="181"/>
      <c r="F19" s="181">
        <v>5.76</v>
      </c>
      <c r="G19" s="181"/>
      <c r="H19" s="181">
        <v>6.72</v>
      </c>
      <c r="I19" s="181"/>
      <c r="J19" s="181">
        <v>4.8</v>
      </c>
      <c r="K19" s="176">
        <v>13</v>
      </c>
      <c r="L19" s="179" t="s">
        <v>57</v>
      </c>
      <c r="M19" s="180" t="s">
        <v>41</v>
      </c>
      <c r="N19" s="180">
        <v>6</v>
      </c>
      <c r="O19" s="121">
        <f>VLOOKUP(L19,'Đơn giá'!B16:D41,3,0)</f>
        <v>120000</v>
      </c>
      <c r="P19" s="122">
        <f t="shared" si="2"/>
        <v>769</v>
      </c>
      <c r="Q19" s="123"/>
      <c r="R19" s="123">
        <f>'Lao đông'!$AZ$25</f>
        <v>36</v>
      </c>
      <c r="S19" s="123"/>
      <c r="T19" s="119">
        <f>'Lao đông'!$BB$25</f>
        <v>28</v>
      </c>
      <c r="U19" s="121">
        <f t="shared" si="3"/>
        <v>0</v>
      </c>
      <c r="V19" s="121">
        <f t="shared" si="4"/>
        <v>27684</v>
      </c>
      <c r="W19" s="121">
        <f t="shared" si="5"/>
        <v>0</v>
      </c>
      <c r="X19" s="121">
        <f t="shared" si="6"/>
        <v>1008</v>
      </c>
      <c r="Y19" s="182" t="s">
        <v>275</v>
      </c>
    </row>
    <row r="20" spans="1:29" s="101" customFormat="1" ht="21" customHeight="1" x14ac:dyDescent="0.2">
      <c r="A20" s="181">
        <v>14</v>
      </c>
      <c r="B20" s="110" t="s">
        <v>38</v>
      </c>
      <c r="C20" s="181" t="s">
        <v>35</v>
      </c>
      <c r="D20" s="181">
        <v>6</v>
      </c>
      <c r="E20" s="181"/>
      <c r="F20" s="181">
        <v>19.2</v>
      </c>
      <c r="G20" s="181"/>
      <c r="H20" s="181">
        <v>22.4</v>
      </c>
      <c r="I20" s="181"/>
      <c r="J20" s="181">
        <v>16</v>
      </c>
      <c r="K20" s="152">
        <v>14</v>
      </c>
      <c r="L20" s="120" t="s">
        <v>38</v>
      </c>
      <c r="M20" s="119" t="s">
        <v>35</v>
      </c>
      <c r="N20" s="119">
        <v>6</v>
      </c>
      <c r="O20" s="121">
        <f>'Đơn giá'!D7</f>
        <v>18000</v>
      </c>
      <c r="P20" s="122">
        <f t="shared" si="2"/>
        <v>115</v>
      </c>
      <c r="Q20" s="123"/>
      <c r="R20" s="123">
        <f>R16</f>
        <v>36</v>
      </c>
      <c r="S20" s="123"/>
      <c r="T20" s="119">
        <f>'Lao đông'!$BB$25</f>
        <v>28</v>
      </c>
      <c r="U20" s="121">
        <f t="shared" si="3"/>
        <v>0</v>
      </c>
      <c r="V20" s="121">
        <f t="shared" si="4"/>
        <v>4140</v>
      </c>
      <c r="W20" s="121">
        <f t="shared" si="5"/>
        <v>0</v>
      </c>
      <c r="X20" s="121">
        <f t="shared" si="6"/>
        <v>1008</v>
      </c>
      <c r="Y20" s="182" t="s">
        <v>222</v>
      </c>
    </row>
    <row r="21" spans="1:29" s="101" customFormat="1" ht="21" customHeight="1" x14ac:dyDescent="0.2">
      <c r="A21" s="181">
        <v>15</v>
      </c>
      <c r="B21" s="110" t="s">
        <v>34</v>
      </c>
      <c r="C21" s="181" t="s">
        <v>35</v>
      </c>
      <c r="D21" s="181">
        <v>24</v>
      </c>
      <c r="E21" s="181"/>
      <c r="F21" s="181">
        <v>19.2</v>
      </c>
      <c r="G21" s="181"/>
      <c r="H21" s="181">
        <v>22.4</v>
      </c>
      <c r="I21" s="181"/>
      <c r="J21" s="181">
        <v>16</v>
      </c>
      <c r="K21" s="176">
        <v>15</v>
      </c>
      <c r="L21" s="120" t="s">
        <v>34</v>
      </c>
      <c r="M21" s="119" t="s">
        <v>35</v>
      </c>
      <c r="N21" s="119">
        <v>24</v>
      </c>
      <c r="O21" s="121">
        <f>'Đơn giá'!D4</f>
        <v>150000</v>
      </c>
      <c r="P21" s="122">
        <f t="shared" si="2"/>
        <v>240</v>
      </c>
      <c r="Q21" s="123"/>
      <c r="R21" s="123">
        <f>R20</f>
        <v>36</v>
      </c>
      <c r="S21" s="123"/>
      <c r="T21" s="119">
        <f>'Lao đông'!$BB$25</f>
        <v>28</v>
      </c>
      <c r="U21" s="121">
        <f t="shared" si="3"/>
        <v>0</v>
      </c>
      <c r="V21" s="121">
        <f t="shared" si="4"/>
        <v>8640</v>
      </c>
      <c r="W21" s="121">
        <f t="shared" si="5"/>
        <v>0</v>
      </c>
      <c r="X21" s="121">
        <f t="shared" si="6"/>
        <v>1008</v>
      </c>
      <c r="Y21" s="182" t="s">
        <v>222</v>
      </c>
    </row>
    <row r="22" spans="1:29" s="101" customFormat="1" ht="21" customHeight="1" x14ac:dyDescent="0.2">
      <c r="A22" s="181">
        <v>16</v>
      </c>
      <c r="B22" s="110" t="s">
        <v>274</v>
      </c>
      <c r="C22" s="181" t="s">
        <v>35</v>
      </c>
      <c r="D22" s="181">
        <v>24</v>
      </c>
      <c r="E22" s="181">
        <v>30</v>
      </c>
      <c r="F22" s="181">
        <v>9.6</v>
      </c>
      <c r="G22" s="181">
        <v>33.200000000000003</v>
      </c>
      <c r="H22" s="181">
        <v>11.2</v>
      </c>
      <c r="I22" s="181">
        <v>26.8</v>
      </c>
      <c r="J22" s="181">
        <v>8</v>
      </c>
      <c r="K22" s="152">
        <v>16</v>
      </c>
      <c r="L22" s="125" t="s">
        <v>61</v>
      </c>
      <c r="M22" s="119" t="s">
        <v>35</v>
      </c>
      <c r="N22" s="119">
        <v>24</v>
      </c>
      <c r="O22" s="121">
        <f>VLOOKUP(L22,'Đơn giá'!B19:D44,3,0)</f>
        <v>15000</v>
      </c>
      <c r="P22" s="122">
        <f t="shared" si="2"/>
        <v>24</v>
      </c>
      <c r="Q22" s="123">
        <f>ROUND('Lao đông'!$AY$25*20%,0)</f>
        <v>17</v>
      </c>
      <c r="R22" s="123">
        <f>R21</f>
        <v>36</v>
      </c>
      <c r="S22" s="123">
        <f>ROUND('Lao đông'!$BA$25*20%,0)</f>
        <v>14</v>
      </c>
      <c r="T22" s="119">
        <f>'Lao đông'!$BB$25</f>
        <v>28</v>
      </c>
      <c r="U22" s="121">
        <f t="shared" si="3"/>
        <v>408</v>
      </c>
      <c r="V22" s="121">
        <f t="shared" si="4"/>
        <v>864</v>
      </c>
      <c r="W22" s="121">
        <f t="shared" si="5"/>
        <v>336</v>
      </c>
      <c r="X22" s="121">
        <f t="shared" si="6"/>
        <v>1008</v>
      </c>
      <c r="Y22" s="182" t="s">
        <v>224</v>
      </c>
    </row>
    <row r="23" spans="1:29" s="101" customFormat="1" ht="21" customHeight="1" x14ac:dyDescent="0.2">
      <c r="A23" s="181">
        <v>17</v>
      </c>
      <c r="B23" s="110" t="s">
        <v>48</v>
      </c>
      <c r="C23" s="181" t="s">
        <v>35</v>
      </c>
      <c r="D23" s="181">
        <v>9</v>
      </c>
      <c r="E23" s="181">
        <v>3</v>
      </c>
      <c r="F23" s="181">
        <v>1.92</v>
      </c>
      <c r="G23" s="181">
        <v>3.32</v>
      </c>
      <c r="H23" s="181">
        <v>2.2400000000000002</v>
      </c>
      <c r="I23" s="181">
        <v>2.68</v>
      </c>
      <c r="J23" s="181">
        <v>1.6</v>
      </c>
      <c r="K23" s="176">
        <v>17</v>
      </c>
      <c r="L23" s="120" t="s">
        <v>48</v>
      </c>
      <c r="M23" s="119" t="s">
        <v>35</v>
      </c>
      <c r="N23" s="119">
        <v>9</v>
      </c>
      <c r="O23" s="121">
        <f>'Đơn giá'!D14</f>
        <v>2500</v>
      </c>
      <c r="P23" s="122">
        <f t="shared" si="2"/>
        <v>11</v>
      </c>
      <c r="Q23" s="123">
        <f>Q22</f>
        <v>17</v>
      </c>
      <c r="R23" s="123">
        <f>ROUND('Lao đông'!$AZ$25*20%,0)</f>
        <v>7</v>
      </c>
      <c r="S23" s="123">
        <f>ROUND('Lao đông'!$BA$25*20%,0)</f>
        <v>14</v>
      </c>
      <c r="T23" s="123">
        <f>ROUND('Lao đông'!$BB$25*20%,0)</f>
        <v>6</v>
      </c>
      <c r="U23" s="121">
        <f t="shared" si="3"/>
        <v>187</v>
      </c>
      <c r="V23" s="121">
        <f t="shared" si="4"/>
        <v>77</v>
      </c>
      <c r="W23" s="121">
        <f t="shared" si="5"/>
        <v>154</v>
      </c>
      <c r="X23" s="121">
        <f t="shared" si="6"/>
        <v>42</v>
      </c>
      <c r="Y23" s="182" t="s">
        <v>225</v>
      </c>
    </row>
    <row r="24" spans="1:29" s="101" customFormat="1" ht="30.75" customHeight="1" x14ac:dyDescent="0.2">
      <c r="A24" s="181">
        <v>18</v>
      </c>
      <c r="B24" s="110" t="s">
        <v>40</v>
      </c>
      <c r="C24" s="181" t="s">
        <v>41</v>
      </c>
      <c r="D24" s="181">
        <v>30</v>
      </c>
      <c r="E24" s="181">
        <v>60</v>
      </c>
      <c r="F24" s="181"/>
      <c r="G24" s="181">
        <v>66.400000000000006</v>
      </c>
      <c r="H24" s="181"/>
      <c r="I24" s="181">
        <v>53.6</v>
      </c>
      <c r="J24" s="181"/>
      <c r="K24" s="152">
        <v>18</v>
      </c>
      <c r="L24" s="120" t="s">
        <v>100</v>
      </c>
      <c r="M24" s="119" t="s">
        <v>41</v>
      </c>
      <c r="N24" s="119">
        <v>30</v>
      </c>
      <c r="O24" s="121">
        <f>'Đơn giá'!D9</f>
        <v>94000</v>
      </c>
      <c r="P24" s="122">
        <f t="shared" si="2"/>
        <v>121</v>
      </c>
      <c r="Q24" s="123">
        <f>ROUND('Lao đông'!$AY$25/6,0)</f>
        <v>14</v>
      </c>
      <c r="R24" s="123"/>
      <c r="S24" s="123">
        <f>ROUND('Lao đông'!$BA$25/6,0)</f>
        <v>12</v>
      </c>
      <c r="T24" s="123"/>
      <c r="U24" s="121">
        <f t="shared" si="3"/>
        <v>1694</v>
      </c>
      <c r="V24" s="121">
        <f t="shared" si="4"/>
        <v>0</v>
      </c>
      <c r="W24" s="121">
        <f t="shared" si="5"/>
        <v>1452</v>
      </c>
      <c r="X24" s="121">
        <f t="shared" si="6"/>
        <v>0</v>
      </c>
      <c r="Y24" s="182" t="s">
        <v>242</v>
      </c>
      <c r="Z24" s="126">
        <f>+ROUND(Q24*0.04*8*1.05,2)</f>
        <v>4.7</v>
      </c>
      <c r="AA24" s="126">
        <f>+ROUND(S24*0.04*8*1.05,2)</f>
        <v>4.03</v>
      </c>
    </row>
    <row r="25" spans="1:29" s="101" customFormat="1" ht="26.25" customHeight="1" x14ac:dyDescent="0.2">
      <c r="A25" s="181">
        <v>19</v>
      </c>
      <c r="B25" s="110" t="s">
        <v>53</v>
      </c>
      <c r="C25" s="181" t="s">
        <v>35</v>
      </c>
      <c r="D25" s="181">
        <v>36</v>
      </c>
      <c r="E25" s="181">
        <v>37.5</v>
      </c>
      <c r="F25" s="181">
        <v>4.8</v>
      </c>
      <c r="G25" s="181">
        <v>41.5</v>
      </c>
      <c r="H25" s="181">
        <v>5.6</v>
      </c>
      <c r="I25" s="181">
        <v>33.5</v>
      </c>
      <c r="J25" s="181">
        <v>4</v>
      </c>
      <c r="K25" s="176">
        <v>19</v>
      </c>
      <c r="L25" s="120" t="s">
        <v>53</v>
      </c>
      <c r="M25" s="119" t="s">
        <v>35</v>
      </c>
      <c r="N25" s="119">
        <v>36</v>
      </c>
      <c r="O25" s="121">
        <f>'Đơn giá'!D19</f>
        <v>168000</v>
      </c>
      <c r="P25" s="122">
        <f t="shared" si="2"/>
        <v>179</v>
      </c>
      <c r="Q25" s="123">
        <f>ROUND('Lao đông'!$AY$25*40%,0)</f>
        <v>34</v>
      </c>
      <c r="R25" s="123">
        <f>ROUND('Lao đông'!$AZ$25*60%,0)</f>
        <v>22</v>
      </c>
      <c r="S25" s="123">
        <f>ROUND('Lao đông'!$BA$25*40%,0)</f>
        <v>28</v>
      </c>
      <c r="T25" s="123">
        <f>ROUND('Lao đông'!$BB$25*60%,0)</f>
        <v>17</v>
      </c>
      <c r="U25" s="121">
        <f t="shared" si="3"/>
        <v>6086</v>
      </c>
      <c r="V25" s="121">
        <f t="shared" si="4"/>
        <v>3938</v>
      </c>
      <c r="W25" s="121">
        <f t="shared" si="5"/>
        <v>5012</v>
      </c>
      <c r="X25" s="121">
        <f t="shared" si="6"/>
        <v>374</v>
      </c>
      <c r="Y25" s="182" t="s">
        <v>226</v>
      </c>
      <c r="Z25" s="126"/>
      <c r="AA25" s="126"/>
    </row>
    <row r="26" spans="1:29" s="101" customFormat="1" ht="37.5" customHeight="1" x14ac:dyDescent="0.2">
      <c r="A26" s="181">
        <v>20</v>
      </c>
      <c r="B26" s="110" t="s">
        <v>59</v>
      </c>
      <c r="C26" s="181" t="s">
        <v>35</v>
      </c>
      <c r="D26" s="181">
        <v>36</v>
      </c>
      <c r="E26" s="181">
        <v>30</v>
      </c>
      <c r="F26" s="181"/>
      <c r="G26" s="181">
        <v>33.200000000000003</v>
      </c>
      <c r="H26" s="181"/>
      <c r="I26" s="181">
        <v>26.8</v>
      </c>
      <c r="J26" s="181"/>
      <c r="K26" s="152">
        <v>20</v>
      </c>
      <c r="L26" s="120" t="s">
        <v>101</v>
      </c>
      <c r="M26" s="119" t="s">
        <v>35</v>
      </c>
      <c r="N26" s="119">
        <v>60</v>
      </c>
      <c r="O26" s="121">
        <f>VLOOKUP(L26,'Đơn giá'!B23:D48,3,0)</f>
        <v>523000</v>
      </c>
      <c r="P26" s="122">
        <f t="shared" si="2"/>
        <v>335</v>
      </c>
      <c r="Q26" s="123">
        <f>ROUND('Lao đông'!$AY$25/6,0)</f>
        <v>14</v>
      </c>
      <c r="R26" s="123"/>
      <c r="S26" s="123">
        <f>ROUND('Lao đông'!$BA$25/6,0)</f>
        <v>12</v>
      </c>
      <c r="T26" s="123"/>
      <c r="U26" s="121">
        <f t="shared" si="3"/>
        <v>4690</v>
      </c>
      <c r="V26" s="121">
        <f t="shared" si="4"/>
        <v>0</v>
      </c>
      <c r="W26" s="121">
        <f t="shared" si="5"/>
        <v>4020</v>
      </c>
      <c r="X26" s="121">
        <f t="shared" si="6"/>
        <v>0</v>
      </c>
      <c r="Y26" s="182" t="s">
        <v>242</v>
      </c>
      <c r="Z26" s="126">
        <f>+ROUND(Q26*0.1*8*1.05,2)</f>
        <v>11.76</v>
      </c>
      <c r="AA26" s="126">
        <f>+ROUND(S26*0.1*8*1.05,2)</f>
        <v>10.08</v>
      </c>
    </row>
    <row r="27" spans="1:29" s="101" customFormat="1" ht="37.5" customHeight="1" x14ac:dyDescent="0.2">
      <c r="A27" s="181">
        <v>21</v>
      </c>
      <c r="B27" s="110" t="s">
        <v>55</v>
      </c>
      <c r="C27" s="181" t="s">
        <v>35</v>
      </c>
      <c r="D27" s="181">
        <v>36</v>
      </c>
      <c r="E27" s="181">
        <v>2.25</v>
      </c>
      <c r="F27" s="181"/>
      <c r="G27" s="181">
        <v>2.4900000000000002</v>
      </c>
      <c r="H27" s="181"/>
      <c r="I27" s="181">
        <v>2.0099999999999998</v>
      </c>
      <c r="J27" s="181"/>
      <c r="K27" s="152"/>
      <c r="L27" s="120"/>
      <c r="M27" s="119"/>
      <c r="N27" s="119"/>
      <c r="O27" s="121"/>
      <c r="P27" s="122"/>
      <c r="Q27" s="123"/>
      <c r="R27" s="123"/>
      <c r="S27" s="123"/>
      <c r="T27" s="123"/>
      <c r="U27" s="121"/>
      <c r="V27" s="121"/>
      <c r="W27" s="121"/>
      <c r="X27" s="121"/>
      <c r="Y27" s="182" t="s">
        <v>279</v>
      </c>
      <c r="Z27" s="126"/>
      <c r="AA27" s="126"/>
    </row>
    <row r="28" spans="1:29" s="101" customFormat="1" ht="21" customHeight="1" x14ac:dyDescent="0.25">
      <c r="A28" s="181">
        <v>22</v>
      </c>
      <c r="B28" s="110" t="s">
        <v>42</v>
      </c>
      <c r="C28" s="181" t="s">
        <v>43</v>
      </c>
      <c r="D28" s="181"/>
      <c r="E28" s="181">
        <v>7.56</v>
      </c>
      <c r="F28" s="181"/>
      <c r="G28" s="181">
        <v>8.3699999999999992</v>
      </c>
      <c r="H28" s="181"/>
      <c r="I28" s="181">
        <v>6.75</v>
      </c>
      <c r="J28" s="181"/>
      <c r="K28" s="152"/>
      <c r="L28" s="120"/>
      <c r="M28" s="119"/>
      <c r="N28" s="120"/>
      <c r="O28" s="121"/>
      <c r="P28" s="127"/>
      <c r="Q28" s="123"/>
      <c r="R28" s="123"/>
      <c r="S28" s="123"/>
      <c r="T28" s="123"/>
      <c r="U28" s="121"/>
      <c r="V28" s="121"/>
      <c r="W28" s="121"/>
      <c r="X28" s="121"/>
      <c r="Y28" s="124" t="s">
        <v>280</v>
      </c>
      <c r="Z28" s="126"/>
      <c r="AA28" s="126"/>
    </row>
    <row r="29" spans="1:29" s="101" customFormat="1" ht="20.25" customHeight="1" x14ac:dyDescent="0.2">
      <c r="K29" s="128"/>
      <c r="L29" s="129" t="s">
        <v>102</v>
      </c>
      <c r="M29" s="130"/>
      <c r="N29" s="131"/>
      <c r="O29" s="131"/>
      <c r="P29" s="131"/>
      <c r="Q29" s="132"/>
      <c r="R29" s="133"/>
      <c r="S29" s="132"/>
      <c r="T29" s="132"/>
      <c r="U29" s="134">
        <f t="shared" ref="U29:X29" si="7">SUM(U7:U28)</f>
        <v>154351</v>
      </c>
      <c r="V29" s="134">
        <f t="shared" si="7"/>
        <v>100711</v>
      </c>
      <c r="W29" s="134">
        <f t="shared" si="7"/>
        <v>121580.27272727274</v>
      </c>
      <c r="X29" s="134">
        <f t="shared" si="7"/>
        <v>10496</v>
      </c>
      <c r="Y29" s="135"/>
    </row>
    <row r="30" spans="1:29" ht="20.25" customHeight="1" x14ac:dyDescent="0.2">
      <c r="AC30" s="46"/>
    </row>
    <row r="31" spans="1:29" ht="20.25" customHeight="1" x14ac:dyDescent="0.2"/>
    <row r="32" spans="1:29" ht="20.25" customHeight="1" x14ac:dyDescent="0.25">
      <c r="K32" s="268" t="s">
        <v>0</v>
      </c>
      <c r="L32" s="259" t="s">
        <v>1</v>
      </c>
      <c r="M32" s="260" t="s">
        <v>103</v>
      </c>
      <c r="N32" s="261"/>
      <c r="O32" s="261"/>
      <c r="P32" s="261"/>
      <c r="Q32" s="259" t="s">
        <v>28</v>
      </c>
      <c r="R32" s="259"/>
      <c r="S32" s="259"/>
      <c r="T32" s="259"/>
      <c r="U32" s="287" t="s">
        <v>313</v>
      </c>
      <c r="V32" s="287"/>
      <c r="W32" s="287"/>
      <c r="X32" s="287"/>
      <c r="Y32" s="287"/>
      <c r="Z32" s="288" t="s">
        <v>28</v>
      </c>
      <c r="AA32" s="288"/>
      <c r="AB32" s="288"/>
      <c r="AC32" s="288"/>
    </row>
    <row r="33" spans="11:29" ht="30" customHeight="1" x14ac:dyDescent="0.2">
      <c r="K33" s="268"/>
      <c r="L33" s="259"/>
      <c r="M33" s="253" t="s">
        <v>117</v>
      </c>
      <c r="N33" s="253"/>
      <c r="O33" s="253" t="s">
        <v>13</v>
      </c>
      <c r="P33" s="253"/>
      <c r="Q33" s="253" t="s">
        <v>117</v>
      </c>
      <c r="R33" s="253"/>
      <c r="S33" s="253" t="s">
        <v>13</v>
      </c>
      <c r="T33" s="253"/>
      <c r="U33" s="233" t="s">
        <v>314</v>
      </c>
      <c r="V33" s="233" t="s">
        <v>315</v>
      </c>
      <c r="W33" s="234" t="s">
        <v>316</v>
      </c>
      <c r="X33" s="234" t="s">
        <v>317</v>
      </c>
      <c r="Y33" s="234" t="s">
        <v>318</v>
      </c>
      <c r="Z33" s="285" t="s">
        <v>117</v>
      </c>
      <c r="AA33" s="286"/>
      <c r="AB33" s="285" t="s">
        <v>13</v>
      </c>
      <c r="AC33" s="286"/>
    </row>
    <row r="34" spans="11:29" ht="26.25" customHeight="1" x14ac:dyDescent="0.25">
      <c r="K34" s="268"/>
      <c r="L34" s="259"/>
      <c r="M34" s="28" t="s">
        <v>4</v>
      </c>
      <c r="N34" s="28" t="s">
        <v>5</v>
      </c>
      <c r="O34" s="28" t="s">
        <v>4</v>
      </c>
      <c r="P34" s="28" t="s">
        <v>5</v>
      </c>
      <c r="Q34" s="28" t="s">
        <v>4</v>
      </c>
      <c r="R34" s="28" t="s">
        <v>5</v>
      </c>
      <c r="S34" s="28" t="s">
        <v>4</v>
      </c>
      <c r="T34" s="28" t="s">
        <v>5</v>
      </c>
      <c r="U34" s="202"/>
      <c r="V34" s="202"/>
      <c r="W34" s="202"/>
      <c r="X34" s="202"/>
      <c r="Y34" s="202"/>
      <c r="Z34" s="205" t="s">
        <v>4</v>
      </c>
      <c r="AA34" s="205" t="s">
        <v>5</v>
      </c>
      <c r="AB34" s="205" t="s">
        <v>4</v>
      </c>
      <c r="AC34" s="205" t="s">
        <v>5</v>
      </c>
    </row>
    <row r="35" spans="11:29" ht="26.25" customHeight="1" x14ac:dyDescent="0.2">
      <c r="K35" s="148">
        <f>'Lao đông'!J31</f>
        <v>1</v>
      </c>
      <c r="L35" s="181" t="str">
        <f>'Lao đông'!K31</f>
        <v>Xác định các yếu tố ảnh hưởng đến giá đất của thửa đất/khu đất cần định giá</v>
      </c>
      <c r="M35" s="148">
        <f>'Lao đông'!L31</f>
        <v>15.22</v>
      </c>
      <c r="N35" s="148">
        <f>'Lao đông'!M31</f>
        <v>0</v>
      </c>
      <c r="O35" s="148">
        <f>'Lao đông'!N31</f>
        <v>18.420000000000002</v>
      </c>
      <c r="P35" s="148">
        <f>'Lao đông'!O31</f>
        <v>0</v>
      </c>
      <c r="Q35" s="29">
        <f>M35*$U$29/100</f>
        <v>23492.222200000004</v>
      </c>
      <c r="R35" s="29">
        <f>N35*$V$29/100</f>
        <v>0</v>
      </c>
      <c r="S35" s="29">
        <f>O35*$W$29/100</f>
        <v>22395.086236363641</v>
      </c>
      <c r="T35" s="29">
        <f>P35*$X$29/100</f>
        <v>0</v>
      </c>
      <c r="U35" s="150">
        <f>'Lao đông'!W8</f>
        <v>2.19</v>
      </c>
      <c r="V35" s="150">
        <f>'Lao đông'!X8</f>
        <v>1</v>
      </c>
      <c r="W35" s="150">
        <f>'Lao đông'!Y8</f>
        <v>1</v>
      </c>
      <c r="X35" s="150">
        <f>'Lao đông'!Z8</f>
        <v>1</v>
      </c>
      <c r="Y35" s="150">
        <f>'Lao đông'!AA8</f>
        <v>1</v>
      </c>
      <c r="Z35" s="206">
        <f>ROUND(Q35*U35*V35*W35*X35*Y35,0)</f>
        <v>51448</v>
      </c>
      <c r="AA35" s="206">
        <f>ROUND(R35*U35*V35*W35*X35*Y35,0)</f>
        <v>0</v>
      </c>
      <c r="AB35" s="206">
        <f>ROUND(S35*U35*V35*W35*X35*Y$35,0)</f>
        <v>49045</v>
      </c>
      <c r="AC35" s="206">
        <f>ROUND(T35*U35*V35*W35*X35*Y35,0)</f>
        <v>0</v>
      </c>
    </row>
    <row r="36" spans="11:29" ht="41.25" customHeight="1" x14ac:dyDescent="0.2">
      <c r="K36" s="148">
        <f>'Lao đông'!J32</f>
        <v>2</v>
      </c>
      <c r="L36" s="181" t="str">
        <f>'Lao đông'!K32</f>
        <v>Thu thập, tổng hợp, phân tích thông tin</v>
      </c>
      <c r="M36" s="148">
        <f>'Lao đông'!L32</f>
        <v>26.09</v>
      </c>
      <c r="N36" s="148">
        <f>'Lao đông'!M32</f>
        <v>100</v>
      </c>
      <c r="O36" s="148">
        <f>'Lao đông'!N32</f>
        <v>26.32</v>
      </c>
      <c r="P36" s="148">
        <f>'Lao đông'!O32</f>
        <v>100</v>
      </c>
      <c r="Q36" s="29">
        <f t="shared" ref="Q36:Q39" si="8">M36*$U$29/100</f>
        <v>40270.175900000002</v>
      </c>
      <c r="R36" s="29">
        <f t="shared" ref="R36:R39" si="9">N36*$V$29/100</f>
        <v>100711</v>
      </c>
      <c r="S36" s="29">
        <f t="shared" ref="S36:S39" si="10">O36*$W$29/100</f>
        <v>31999.927781818184</v>
      </c>
      <c r="T36" s="29">
        <f t="shared" ref="T36:T39" si="11">P36*$X$29/100</f>
        <v>10496</v>
      </c>
      <c r="U36" s="150">
        <f>'Lao đông'!W12</f>
        <v>2.19</v>
      </c>
      <c r="V36" s="150">
        <f>'Lao đông'!X12</f>
        <v>1</v>
      </c>
      <c r="W36" s="150">
        <f>'Lao đông'!Y12</f>
        <v>1</v>
      </c>
      <c r="X36" s="150">
        <f>'Lao đông'!Z12</f>
        <v>1</v>
      </c>
      <c r="Y36" s="150">
        <f>'Lao đông'!AA12</f>
        <v>1</v>
      </c>
      <c r="Z36" s="206">
        <f t="shared" ref="Z36:Z39" si="12">ROUND(Q36*U36*V36*W36*X36*Y36,0)</f>
        <v>88192</v>
      </c>
      <c r="AA36" s="206">
        <f t="shared" ref="AA36:AA39" si="13">ROUND(R36*U36*V36*W36*X36*Y36,0)</f>
        <v>220557</v>
      </c>
      <c r="AB36" s="206">
        <f t="shared" ref="AB36:AB39" si="14">ROUND(S36*U36*V36*W36*X36*Y$35,0)</f>
        <v>70080</v>
      </c>
      <c r="AC36" s="206">
        <f t="shared" ref="AC36:AC39" si="15">ROUND(T36*U36*V36*W36*X36*Y36,0)</f>
        <v>22986</v>
      </c>
    </row>
    <row r="37" spans="11:29" ht="41.25" customHeight="1" x14ac:dyDescent="0.2">
      <c r="K37" s="148">
        <f>'Lao đông'!J33</f>
        <v>3</v>
      </c>
      <c r="L37" s="181" t="str">
        <f>'Lao đông'!K33</f>
        <v>Lựa chọn phương pháp định giá đất</v>
      </c>
      <c r="M37" s="148">
        <f>'Lao đông'!L33</f>
        <v>26.09</v>
      </c>
      <c r="N37" s="148">
        <f>'Lao đông'!M33</f>
        <v>0</v>
      </c>
      <c r="O37" s="148">
        <f>'Lao đông'!N33</f>
        <v>15.79</v>
      </c>
      <c r="P37" s="148">
        <f>'Lao đông'!O33</f>
        <v>0</v>
      </c>
      <c r="Q37" s="29">
        <f t="shared" si="8"/>
        <v>40270.175900000002</v>
      </c>
      <c r="R37" s="29">
        <f t="shared" si="9"/>
        <v>0</v>
      </c>
      <c r="S37" s="29">
        <f t="shared" si="10"/>
        <v>19197.525063636363</v>
      </c>
      <c r="T37" s="29">
        <f t="shared" si="11"/>
        <v>0</v>
      </c>
      <c r="U37" s="150">
        <f>'Lao đông'!W17</f>
        <v>2.19</v>
      </c>
      <c r="V37" s="150">
        <f>'Lao đông'!X17</f>
        <v>1</v>
      </c>
      <c r="W37" s="150">
        <f>'Lao đông'!Y17</f>
        <v>1</v>
      </c>
      <c r="X37" s="150">
        <f>'Lao đông'!Z17</f>
        <v>1</v>
      </c>
      <c r="Y37" s="150">
        <f>'Lao đông'!AA17</f>
        <v>1</v>
      </c>
      <c r="Z37" s="206">
        <f t="shared" si="12"/>
        <v>88192</v>
      </c>
      <c r="AA37" s="206">
        <f t="shared" si="13"/>
        <v>0</v>
      </c>
      <c r="AB37" s="206">
        <f t="shared" si="14"/>
        <v>42043</v>
      </c>
      <c r="AC37" s="206">
        <f t="shared" si="15"/>
        <v>0</v>
      </c>
    </row>
    <row r="38" spans="11:29" ht="41.25" customHeight="1" x14ac:dyDescent="0.2">
      <c r="K38" s="148">
        <f>'Lao đông'!J34</f>
        <v>4</v>
      </c>
      <c r="L38" s="181" t="str">
        <f>'Lao đông'!K34</f>
        <v>Xây dựng báo cáo thuyết minh xây dựng phương án giá đất, dự thảo chứng thư định giá đất</v>
      </c>
      <c r="M38" s="148">
        <f>'Lao đông'!L34</f>
        <v>21.74</v>
      </c>
      <c r="N38" s="148">
        <f>'Lao đông'!M34</f>
        <v>0</v>
      </c>
      <c r="O38" s="148">
        <f>'Lao đông'!N34</f>
        <v>26.32</v>
      </c>
      <c r="P38" s="148">
        <f>'Lao đông'!O34</f>
        <v>0</v>
      </c>
      <c r="Q38" s="29">
        <f t="shared" si="8"/>
        <v>33555.907399999996</v>
      </c>
      <c r="R38" s="29">
        <f t="shared" si="9"/>
        <v>0</v>
      </c>
      <c r="S38" s="29">
        <f t="shared" si="10"/>
        <v>31999.927781818184</v>
      </c>
      <c r="T38" s="29">
        <f t="shared" si="11"/>
        <v>0</v>
      </c>
      <c r="U38" s="150">
        <f>'Lao đông'!W20</f>
        <v>1</v>
      </c>
      <c r="V38" s="150">
        <f>'Lao đông'!X20</f>
        <v>1</v>
      </c>
      <c r="W38" s="150">
        <f>'Lao đông'!Y20</f>
        <v>1</v>
      </c>
      <c r="X38" s="150">
        <f>'Lao đông'!Z20</f>
        <v>1</v>
      </c>
      <c r="Y38" s="150">
        <f>'Lao đông'!AA20</f>
        <v>1</v>
      </c>
      <c r="Z38" s="206">
        <f t="shared" si="12"/>
        <v>33556</v>
      </c>
      <c r="AA38" s="206">
        <f t="shared" si="13"/>
        <v>0</v>
      </c>
      <c r="AB38" s="206">
        <f t="shared" si="14"/>
        <v>32000</v>
      </c>
      <c r="AC38" s="206">
        <f t="shared" si="15"/>
        <v>0</v>
      </c>
    </row>
    <row r="39" spans="11:29" ht="41.25" customHeight="1" x14ac:dyDescent="0.2">
      <c r="K39" s="148">
        <f>'Lao đông'!J35</f>
        <v>5</v>
      </c>
      <c r="L39" s="181" t="str">
        <f>'Lao đông'!K35</f>
        <v>Hoàn thiện báo cáo thuyết minh xây dựng  phương án giá đất và chứng thư định giá đất</v>
      </c>
      <c r="M39" s="148">
        <f>'Lao đông'!L35</f>
        <v>10.86</v>
      </c>
      <c r="N39" s="148">
        <f>'Lao đông'!M35</f>
        <v>0</v>
      </c>
      <c r="O39" s="148">
        <f>'Lao đông'!N35</f>
        <v>13.15</v>
      </c>
      <c r="P39" s="148">
        <f>'Lao đông'!O35</f>
        <v>0</v>
      </c>
      <c r="Q39" s="29">
        <f t="shared" si="8"/>
        <v>16762.518599999999</v>
      </c>
      <c r="R39" s="29">
        <f t="shared" si="9"/>
        <v>0</v>
      </c>
      <c r="S39" s="29">
        <f t="shared" si="10"/>
        <v>15987.805863636364</v>
      </c>
      <c r="T39" s="29">
        <f t="shared" si="11"/>
        <v>0</v>
      </c>
      <c r="U39" s="150">
        <f>'Lao đông'!W23</f>
        <v>1</v>
      </c>
      <c r="V39" s="150">
        <f>'Lao đông'!X23</f>
        <v>1</v>
      </c>
      <c r="W39" s="150">
        <f>'Lao đông'!Y23</f>
        <v>1</v>
      </c>
      <c r="X39" s="150">
        <f>'Lao đông'!Z23</f>
        <v>1</v>
      </c>
      <c r="Y39" s="150">
        <f>'Lao đông'!AA23</f>
        <v>1</v>
      </c>
      <c r="Z39" s="206">
        <f t="shared" si="12"/>
        <v>16763</v>
      </c>
      <c r="AA39" s="206">
        <f t="shared" si="13"/>
        <v>0</v>
      </c>
      <c r="AB39" s="206">
        <f t="shared" si="14"/>
        <v>15988</v>
      </c>
      <c r="AC39" s="206">
        <f t="shared" si="15"/>
        <v>0</v>
      </c>
    </row>
    <row r="40" spans="11:29" s="44" customFormat="1" ht="25.5" customHeight="1" x14ac:dyDescent="0.2">
      <c r="K40" s="30"/>
      <c r="L40" s="30" t="s">
        <v>29</v>
      </c>
      <c r="M40" s="65">
        <f>SUM(M35:M39)</f>
        <v>100</v>
      </c>
      <c r="N40" s="65">
        <f t="shared" ref="N40" si="16">SUM(N36:N39)</f>
        <v>100</v>
      </c>
      <c r="O40" s="65">
        <f>SUM(O35:O39)</f>
        <v>100</v>
      </c>
      <c r="P40" s="65">
        <f>SUM(P35:P39)</f>
        <v>100</v>
      </c>
      <c r="Q40" s="31">
        <f>SUM(Q35:Q39)</f>
        <v>154351</v>
      </c>
      <c r="R40" s="31">
        <f t="shared" ref="R40:T40" si="17">SUM(R35:R39)</f>
        <v>100711</v>
      </c>
      <c r="S40" s="31">
        <f t="shared" si="17"/>
        <v>121580.27272727274</v>
      </c>
      <c r="T40" s="31">
        <f t="shared" si="17"/>
        <v>10496</v>
      </c>
      <c r="U40" s="237"/>
      <c r="V40" s="237"/>
      <c r="W40" s="237"/>
      <c r="X40" s="237"/>
      <c r="Y40" s="237"/>
      <c r="Z40" s="211">
        <f t="shared" ref="Z40:AC40" si="18">SUM(Z35:Z39)</f>
        <v>278151</v>
      </c>
      <c r="AA40" s="211">
        <f t="shared" si="18"/>
        <v>220557</v>
      </c>
      <c r="AB40" s="211">
        <f t="shared" si="18"/>
        <v>209156</v>
      </c>
      <c r="AC40" s="211">
        <f t="shared" si="18"/>
        <v>22986</v>
      </c>
    </row>
    <row r="41" spans="11:29" x14ac:dyDescent="0.2">
      <c r="Y41" s="45"/>
    </row>
  </sheetData>
  <mergeCells count="37">
    <mergeCell ref="Z33:AA33"/>
    <mergeCell ref="AB33:AC33"/>
    <mergeCell ref="U32:Y32"/>
    <mergeCell ref="Z32:AC32"/>
    <mergeCell ref="A2:A5"/>
    <mergeCell ref="B2:B5"/>
    <mergeCell ref="C2:C5"/>
    <mergeCell ref="D2:D5"/>
    <mergeCell ref="K32:K34"/>
    <mergeCell ref="G4:H4"/>
    <mergeCell ref="I4:J4"/>
    <mergeCell ref="E2:J2"/>
    <mergeCell ref="E3:J3"/>
    <mergeCell ref="E4:F4"/>
    <mergeCell ref="K2:K5"/>
    <mergeCell ref="L2:L5"/>
    <mergeCell ref="K1:X1"/>
    <mergeCell ref="L32:L34"/>
    <mergeCell ref="Q33:R33"/>
    <mergeCell ref="Q2:T2"/>
    <mergeCell ref="Q3:T3"/>
    <mergeCell ref="U2:X2"/>
    <mergeCell ref="U3:X3"/>
    <mergeCell ref="M33:N33"/>
    <mergeCell ref="O33:P33"/>
    <mergeCell ref="M32:P32"/>
    <mergeCell ref="Q32:T32"/>
    <mergeCell ref="M2:M5"/>
    <mergeCell ref="Y2:Y5"/>
    <mergeCell ref="N2:N5"/>
    <mergeCell ref="O2:O5"/>
    <mergeCell ref="S33:T33"/>
    <mergeCell ref="W4:X4"/>
    <mergeCell ref="Q4:R4"/>
    <mergeCell ref="S4:T4"/>
    <mergeCell ref="U4:V4"/>
    <mergeCell ref="P2:P5"/>
  </mergeCells>
  <pageMargins left="0.22" right="0.3" top="0.27" bottom="0.35" header="0.2" footer="0.3"/>
  <pageSetup paperSize="9" scale="7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D28"/>
  <sheetViews>
    <sheetView topLeftCell="K15" zoomScale="84" zoomScaleNormal="85" workbookViewId="0">
      <selection activeCell="Z23" sqref="Z23"/>
    </sheetView>
  </sheetViews>
  <sheetFormatPr defaultColWidth="9.125" defaultRowHeight="14.25" x14ac:dyDescent="0.2"/>
  <cols>
    <col min="1" max="1" width="9.125" style="1"/>
    <col min="2" max="2" width="18.125" style="1" customWidth="1"/>
    <col min="3" max="8" width="9.125" style="1"/>
    <col min="9" max="9" width="11.25" style="1" customWidth="1"/>
    <col min="10" max="10" width="9.125" style="1"/>
    <col min="11" max="11" width="6" style="1" customWidth="1"/>
    <col min="12" max="12" width="16.25" style="1" customWidth="1"/>
    <col min="13" max="15" width="8" style="1" customWidth="1"/>
    <col min="16" max="16" width="11.625" style="1" customWidth="1"/>
    <col min="17" max="17" width="9.125" style="1" customWidth="1"/>
    <col min="18" max="23" width="9.625" style="1" customWidth="1"/>
    <col min="24" max="25" width="9.125" style="1" customWidth="1"/>
    <col min="26" max="26" width="18.25" style="1" customWidth="1"/>
    <col min="27" max="27" width="13.5" style="1" customWidth="1"/>
    <col min="28" max="28" width="15.25" style="1" customWidth="1"/>
    <col min="29" max="30" width="12.5" style="1" customWidth="1"/>
    <col min="31" max="16384" width="9.125" style="1"/>
  </cols>
  <sheetData>
    <row r="1" spans="1:29" x14ac:dyDescent="0.2">
      <c r="K1" s="34"/>
      <c r="L1" s="34"/>
      <c r="M1" s="34"/>
      <c r="N1" s="34"/>
      <c r="O1" s="34"/>
      <c r="P1" s="34"/>
      <c r="Q1" s="34"/>
      <c r="R1" s="34"/>
      <c r="S1" s="34"/>
      <c r="T1" s="34"/>
      <c r="U1" s="34"/>
      <c r="V1" s="34"/>
      <c r="W1" s="34"/>
      <c r="X1" s="34"/>
      <c r="Y1" s="34"/>
      <c r="Z1" s="34"/>
      <c r="AA1" s="34"/>
      <c r="AB1" s="34"/>
      <c r="AC1" s="34"/>
    </row>
    <row r="2" spans="1:29" ht="25.5" customHeight="1" x14ac:dyDescent="0.2">
      <c r="K2" s="294" t="s">
        <v>129</v>
      </c>
      <c r="L2" s="294"/>
      <c r="M2" s="294"/>
      <c r="N2" s="294"/>
      <c r="O2" s="294"/>
      <c r="P2" s="294"/>
      <c r="Q2" s="294"/>
      <c r="R2" s="294"/>
      <c r="S2" s="294"/>
      <c r="T2" s="294"/>
      <c r="U2" s="294"/>
      <c r="V2" s="294"/>
      <c r="W2" s="294"/>
      <c r="X2" s="294"/>
      <c r="Y2" s="294"/>
      <c r="Z2" s="59"/>
      <c r="AA2" s="59"/>
      <c r="AB2" s="59"/>
      <c r="AC2" s="59"/>
    </row>
    <row r="3" spans="1:29" x14ac:dyDescent="0.2">
      <c r="K3" s="34"/>
      <c r="L3" s="34"/>
      <c r="M3" s="34"/>
      <c r="N3" s="34"/>
      <c r="O3" s="34"/>
      <c r="P3" s="34"/>
      <c r="Q3" s="34"/>
      <c r="R3" s="34"/>
      <c r="S3" s="34"/>
      <c r="T3" s="34"/>
      <c r="U3" s="34"/>
      <c r="V3" s="34"/>
      <c r="W3" s="34"/>
      <c r="X3" s="34"/>
      <c r="Y3" s="34"/>
      <c r="Z3" s="34"/>
      <c r="AA3" s="34"/>
      <c r="AB3" s="34"/>
      <c r="AC3" s="34"/>
    </row>
    <row r="4" spans="1:29" ht="33" customHeight="1" x14ac:dyDescent="0.2">
      <c r="A4" s="289" t="s">
        <v>0</v>
      </c>
      <c r="B4" s="289" t="s">
        <v>65</v>
      </c>
      <c r="C4" s="289" t="s">
        <v>32</v>
      </c>
      <c r="D4" s="289" t="s">
        <v>113</v>
      </c>
      <c r="E4" s="259" t="s">
        <v>286</v>
      </c>
      <c r="F4" s="259"/>
      <c r="G4" s="259"/>
      <c r="H4" s="259"/>
      <c r="I4" s="259"/>
      <c r="J4" s="259"/>
      <c r="K4" s="291" t="s">
        <v>0</v>
      </c>
      <c r="L4" s="274" t="s">
        <v>65</v>
      </c>
      <c r="M4" s="274" t="s">
        <v>32</v>
      </c>
      <c r="N4" s="274" t="s">
        <v>113</v>
      </c>
      <c r="O4" s="274" t="s">
        <v>302</v>
      </c>
      <c r="P4" s="274" t="s">
        <v>66</v>
      </c>
      <c r="Q4" s="299" t="s">
        <v>104</v>
      </c>
      <c r="R4" s="259" t="s">
        <v>115</v>
      </c>
      <c r="S4" s="259"/>
      <c r="T4" s="259"/>
      <c r="U4" s="259"/>
      <c r="V4" s="259" t="s">
        <v>116</v>
      </c>
      <c r="W4" s="259"/>
      <c r="X4" s="259"/>
      <c r="Y4" s="259"/>
      <c r="Z4" s="259" t="s">
        <v>213</v>
      </c>
      <c r="AA4" s="57"/>
      <c r="AB4" s="57"/>
      <c r="AC4" s="57"/>
    </row>
    <row r="5" spans="1:29" ht="33" customHeight="1" x14ac:dyDescent="0.2">
      <c r="A5" s="289"/>
      <c r="B5" s="289"/>
      <c r="C5" s="289"/>
      <c r="D5" s="289"/>
      <c r="E5" s="253" t="s">
        <v>252</v>
      </c>
      <c r="F5" s="253"/>
      <c r="G5" s="253" t="s">
        <v>12</v>
      </c>
      <c r="H5" s="253"/>
      <c r="I5" s="253" t="s">
        <v>13</v>
      </c>
      <c r="J5" s="253"/>
      <c r="K5" s="292"/>
      <c r="L5" s="275"/>
      <c r="M5" s="275"/>
      <c r="N5" s="275"/>
      <c r="O5" s="275"/>
      <c r="P5" s="275"/>
      <c r="Q5" s="300"/>
      <c r="R5" s="253" t="s">
        <v>118</v>
      </c>
      <c r="S5" s="253"/>
      <c r="T5" s="253" t="s">
        <v>13</v>
      </c>
      <c r="U5" s="253"/>
      <c r="V5" s="253" t="s">
        <v>118</v>
      </c>
      <c r="W5" s="253"/>
      <c r="X5" s="253" t="s">
        <v>13</v>
      </c>
      <c r="Y5" s="253"/>
      <c r="Z5" s="259"/>
    </row>
    <row r="6" spans="1:29" ht="33" customHeight="1" x14ac:dyDescent="0.2">
      <c r="A6" s="289"/>
      <c r="B6" s="289"/>
      <c r="C6" s="289"/>
      <c r="D6" s="289"/>
      <c r="E6" s="28" t="s">
        <v>105</v>
      </c>
      <c r="F6" s="28" t="s">
        <v>5</v>
      </c>
      <c r="G6" s="28" t="s">
        <v>105</v>
      </c>
      <c r="H6" s="28" t="s">
        <v>5</v>
      </c>
      <c r="I6" s="28" t="s">
        <v>4</v>
      </c>
      <c r="J6" s="28" t="s">
        <v>5</v>
      </c>
      <c r="K6" s="293"/>
      <c r="L6" s="276"/>
      <c r="M6" s="276"/>
      <c r="N6" s="276"/>
      <c r="O6" s="276"/>
      <c r="P6" s="276"/>
      <c r="Q6" s="301"/>
      <c r="R6" s="48" t="s">
        <v>105</v>
      </c>
      <c r="S6" s="48" t="s">
        <v>5</v>
      </c>
      <c r="T6" s="48" t="s">
        <v>4</v>
      </c>
      <c r="U6" s="48" t="s">
        <v>5</v>
      </c>
      <c r="V6" s="48" t="s">
        <v>105</v>
      </c>
      <c r="W6" s="48" t="s">
        <v>5</v>
      </c>
      <c r="X6" s="48" t="s">
        <v>4</v>
      </c>
      <c r="Y6" s="48" t="s">
        <v>5</v>
      </c>
      <c r="Z6" s="259"/>
    </row>
    <row r="7" spans="1:29" ht="51" customHeight="1" x14ac:dyDescent="0.2">
      <c r="A7" s="174">
        <v>1</v>
      </c>
      <c r="B7" s="175" t="s">
        <v>69</v>
      </c>
      <c r="C7" s="174" t="s">
        <v>35</v>
      </c>
      <c r="D7" s="174">
        <v>0.5</v>
      </c>
      <c r="E7" s="174">
        <v>4.88</v>
      </c>
      <c r="F7" s="174"/>
      <c r="G7" s="174">
        <v>5.4</v>
      </c>
      <c r="H7" s="174"/>
      <c r="I7" s="174">
        <v>4.3600000000000003</v>
      </c>
      <c r="J7" s="174"/>
      <c r="K7" s="185">
        <v>1</v>
      </c>
      <c r="L7" s="39" t="s">
        <v>69</v>
      </c>
      <c r="M7" s="38" t="s">
        <v>35</v>
      </c>
      <c r="N7" s="38">
        <v>0.5</v>
      </c>
      <c r="O7" s="50">
        <v>84</v>
      </c>
      <c r="P7" s="51">
        <f>VLOOKUP(L7,'Đơn giá'!$B$33:$D$42,3,0)</f>
        <v>14564000</v>
      </c>
      <c r="Q7" s="138">
        <f>P7/O7/500</f>
        <v>346.76190476190476</v>
      </c>
      <c r="R7" s="174">
        <v>5.4</v>
      </c>
      <c r="S7" s="174"/>
      <c r="T7" s="174">
        <v>4.3600000000000003</v>
      </c>
      <c r="U7" s="174"/>
      <c r="V7" s="29">
        <f t="shared" ref="V7:V12" si="0">Q7*R7</f>
        <v>1872.5142857142857</v>
      </c>
      <c r="W7" s="40"/>
      <c r="X7" s="29">
        <f t="shared" ref="X7:X12" si="1">Q7*T7</f>
        <v>1511.8819047619049</v>
      </c>
      <c r="Y7" s="40"/>
      <c r="Z7" s="136" t="s">
        <v>285</v>
      </c>
      <c r="AA7" s="137">
        <f>+ROUND(N7*R7*8*1.05,2)</f>
        <v>22.68</v>
      </c>
      <c r="AB7" s="137">
        <f>+ROUND(N7*T7*8*1.05,2)</f>
        <v>18.309999999999999</v>
      </c>
    </row>
    <row r="8" spans="1:29" ht="51" customHeight="1" x14ac:dyDescent="0.2">
      <c r="A8" s="174">
        <v>2</v>
      </c>
      <c r="B8" s="175" t="s">
        <v>73</v>
      </c>
      <c r="C8" s="174" t="s">
        <v>35</v>
      </c>
      <c r="D8" s="174">
        <v>0.4</v>
      </c>
      <c r="E8" s="174">
        <v>11.25</v>
      </c>
      <c r="F8" s="174"/>
      <c r="G8" s="174">
        <v>12.45</v>
      </c>
      <c r="H8" s="174"/>
      <c r="I8" s="174">
        <v>10.050000000000001</v>
      </c>
      <c r="J8" s="174"/>
      <c r="K8" s="50">
        <v>2</v>
      </c>
      <c r="L8" s="39" t="s">
        <v>73</v>
      </c>
      <c r="M8" s="38" t="s">
        <v>35</v>
      </c>
      <c r="N8" s="49">
        <v>0.4</v>
      </c>
      <c r="O8" s="50">
        <v>84</v>
      </c>
      <c r="P8" s="51">
        <f>VLOOKUP(L8,'Đơn giá'!$B$33:$D$42,3,0)</f>
        <v>12035000</v>
      </c>
      <c r="Q8" s="138">
        <f>P8/O8/500</f>
        <v>286.54761904761904</v>
      </c>
      <c r="R8" s="123">
        <f>ROUND('Lao đông'!AY25*60%,0)</f>
        <v>51</v>
      </c>
      <c r="S8" s="123"/>
      <c r="T8" s="123">
        <f>ROUND('Lao đông'!$BA$25*60%,0)</f>
        <v>41</v>
      </c>
      <c r="U8" s="40"/>
      <c r="V8" s="29">
        <f t="shared" si="0"/>
        <v>14613.928571428571</v>
      </c>
      <c r="W8" s="40"/>
      <c r="X8" s="29">
        <f t="shared" si="1"/>
        <v>11748.45238095238</v>
      </c>
      <c r="Y8" s="40"/>
      <c r="Z8" s="136" t="s">
        <v>241</v>
      </c>
      <c r="AA8" s="137">
        <f t="shared" ref="AA8:AA13" si="2">+ROUND(N8*R8*8*1.05,2)</f>
        <v>171.36</v>
      </c>
      <c r="AB8" s="137">
        <f t="shared" ref="AB8:AB13" si="3">+ROUND(N8*T8*8*1.05,2)</f>
        <v>137.76</v>
      </c>
    </row>
    <row r="9" spans="1:29" ht="51" customHeight="1" x14ac:dyDescent="0.2">
      <c r="A9" s="174">
        <v>3</v>
      </c>
      <c r="B9" s="175" t="s">
        <v>68</v>
      </c>
      <c r="C9" s="174" t="s">
        <v>35</v>
      </c>
      <c r="D9" s="174">
        <v>2.2000000000000002</v>
      </c>
      <c r="E9" s="174">
        <v>5.63</v>
      </c>
      <c r="F9" s="174"/>
      <c r="G9" s="174">
        <v>6.23</v>
      </c>
      <c r="H9" s="174"/>
      <c r="I9" s="174">
        <v>5.03</v>
      </c>
      <c r="J9" s="174"/>
      <c r="K9" s="50">
        <v>3</v>
      </c>
      <c r="L9" s="39" t="s">
        <v>68</v>
      </c>
      <c r="M9" s="38" t="s">
        <v>35</v>
      </c>
      <c r="N9" s="49">
        <v>2.2000000000000002</v>
      </c>
      <c r="O9" s="50">
        <v>96</v>
      </c>
      <c r="P9" s="51">
        <f>VLOOKUP(L9,'Đơn giá'!$B$33:$D$42,3,0)</f>
        <v>9500000</v>
      </c>
      <c r="Q9" s="138">
        <f>P9/O9/500</f>
        <v>197.91666666666666</v>
      </c>
      <c r="R9" s="123">
        <f>'Lao đông'!AY25/6</f>
        <v>14.166666666666666</v>
      </c>
      <c r="S9" s="123"/>
      <c r="T9" s="123">
        <f>'Lao đông'!BA25/6</f>
        <v>11.5</v>
      </c>
      <c r="U9" s="40"/>
      <c r="V9" s="29">
        <f t="shared" si="0"/>
        <v>2803.8194444444443</v>
      </c>
      <c r="W9" s="40"/>
      <c r="X9" s="29">
        <f t="shared" si="1"/>
        <v>2276.0416666666665</v>
      </c>
      <c r="Y9" s="40"/>
      <c r="Z9" s="136" t="s">
        <v>242</v>
      </c>
      <c r="AA9" s="137">
        <f t="shared" si="2"/>
        <v>261.8</v>
      </c>
      <c r="AB9" s="137">
        <f t="shared" si="3"/>
        <v>212.52</v>
      </c>
    </row>
    <row r="10" spans="1:29" ht="51" customHeight="1" x14ac:dyDescent="0.2">
      <c r="A10" s="174">
        <v>4</v>
      </c>
      <c r="B10" s="175" t="s">
        <v>281</v>
      </c>
      <c r="C10" s="174" t="s">
        <v>35</v>
      </c>
      <c r="D10" s="174">
        <v>0.5</v>
      </c>
      <c r="E10" s="174">
        <v>2.25</v>
      </c>
      <c r="F10" s="174"/>
      <c r="G10" s="174">
        <v>2.4900000000000002</v>
      </c>
      <c r="H10" s="174"/>
      <c r="I10" s="174">
        <v>2.0099999999999998</v>
      </c>
      <c r="J10" s="174"/>
      <c r="K10" s="185">
        <v>4</v>
      </c>
      <c r="L10" s="39" t="s">
        <v>134</v>
      </c>
      <c r="M10" s="38" t="s">
        <v>35</v>
      </c>
      <c r="N10" s="38">
        <v>0.5</v>
      </c>
      <c r="O10" s="50">
        <v>84</v>
      </c>
      <c r="P10" s="51">
        <f>VLOOKUP(L10,'Đơn giá'!$B$33:$D$42,3,0)</f>
        <v>16599000</v>
      </c>
      <c r="Q10" s="138">
        <f>P10/O10/500</f>
        <v>395.21428571428572</v>
      </c>
      <c r="R10" s="187">
        <v>2.4900000000000002</v>
      </c>
      <c r="S10" s="187"/>
      <c r="T10" s="187">
        <v>2.0099999999999998</v>
      </c>
      <c r="U10" s="174"/>
      <c r="V10" s="29">
        <f t="shared" si="0"/>
        <v>984.08357142857153</v>
      </c>
      <c r="W10" s="40"/>
      <c r="X10" s="29">
        <f t="shared" si="1"/>
        <v>794.38071428571425</v>
      </c>
      <c r="Y10" s="40"/>
      <c r="Z10" s="136" t="s">
        <v>285</v>
      </c>
      <c r="AA10" s="137">
        <f t="shared" si="2"/>
        <v>10.46</v>
      </c>
      <c r="AB10" s="137">
        <f t="shared" si="3"/>
        <v>8.44</v>
      </c>
    </row>
    <row r="11" spans="1:29" ht="51" customHeight="1" x14ac:dyDescent="0.2">
      <c r="A11" s="174">
        <v>5</v>
      </c>
      <c r="B11" s="175" t="s">
        <v>72</v>
      </c>
      <c r="C11" s="174" t="s">
        <v>35</v>
      </c>
      <c r="D11" s="174"/>
      <c r="E11" s="174">
        <v>2.25</v>
      </c>
      <c r="F11" s="174">
        <v>4.8</v>
      </c>
      <c r="G11" s="174">
        <v>2.4900000000000002</v>
      </c>
      <c r="H11" s="174">
        <v>5.6</v>
      </c>
      <c r="I11" s="174">
        <v>2.0099999999999998</v>
      </c>
      <c r="J11" s="174">
        <v>4</v>
      </c>
      <c r="K11" s="50">
        <v>5</v>
      </c>
      <c r="L11" s="39" t="s">
        <v>72</v>
      </c>
      <c r="M11" s="38" t="s">
        <v>35</v>
      </c>
      <c r="N11" s="49">
        <v>0.5</v>
      </c>
      <c r="O11" s="50">
        <v>84</v>
      </c>
      <c r="P11" s="51">
        <f>VLOOKUP(L11,'Đơn giá'!$B$33:$D$42,3,0)</f>
        <v>15000000</v>
      </c>
      <c r="Q11" s="138">
        <f>P11/O11/500</f>
        <v>357.14285714285717</v>
      </c>
      <c r="R11" s="40"/>
      <c r="S11" s="123">
        <f>'Lao đông'!AZ25</f>
        <v>36</v>
      </c>
      <c r="T11" s="123"/>
      <c r="U11" s="123">
        <f>'Lao đông'!BB25</f>
        <v>28</v>
      </c>
      <c r="V11" s="29">
        <f t="shared" si="0"/>
        <v>0</v>
      </c>
      <c r="W11" s="29">
        <f>Q11*S11</f>
        <v>12857.142857142859</v>
      </c>
      <c r="X11" s="29">
        <f t="shared" si="1"/>
        <v>0</v>
      </c>
      <c r="Y11" s="29">
        <f>Q11*U11</f>
        <v>10000</v>
      </c>
      <c r="Z11" s="136" t="s">
        <v>222</v>
      </c>
      <c r="AA11" s="137">
        <f t="shared" si="2"/>
        <v>0</v>
      </c>
      <c r="AB11" s="137">
        <f t="shared" si="3"/>
        <v>0</v>
      </c>
    </row>
    <row r="12" spans="1:29" ht="51" customHeight="1" x14ac:dyDescent="0.2">
      <c r="A12" s="174">
        <v>6</v>
      </c>
      <c r="B12" s="175" t="s">
        <v>282</v>
      </c>
      <c r="C12" s="174" t="s">
        <v>35</v>
      </c>
      <c r="D12" s="174">
        <v>1.5</v>
      </c>
      <c r="E12" s="174">
        <v>3.75</v>
      </c>
      <c r="F12" s="174"/>
      <c r="G12" s="174">
        <v>4.1500000000000004</v>
      </c>
      <c r="H12" s="174"/>
      <c r="I12" s="174">
        <v>3.35</v>
      </c>
      <c r="J12" s="174"/>
      <c r="K12" s="50">
        <v>6</v>
      </c>
      <c r="L12" s="39" t="s">
        <v>70</v>
      </c>
      <c r="M12" s="38" t="s">
        <v>35</v>
      </c>
      <c r="N12" s="49">
        <v>1.5</v>
      </c>
      <c r="O12" s="50">
        <v>84</v>
      </c>
      <c r="P12" s="51">
        <f>VLOOKUP(L12,'Đơn giá'!$B$33:$D$42,3,0)</f>
        <v>36075000</v>
      </c>
      <c r="Q12" s="138">
        <f t="shared" ref="Q12:Q13" si="4">P12/O12/500</f>
        <v>858.92857142857144</v>
      </c>
      <c r="R12" s="174">
        <v>4.1500000000000004</v>
      </c>
      <c r="S12" s="174"/>
      <c r="T12" s="174">
        <v>3.35</v>
      </c>
      <c r="U12" s="174"/>
      <c r="V12" s="29">
        <f t="shared" si="0"/>
        <v>3564.553571428572</v>
      </c>
      <c r="W12" s="40"/>
      <c r="X12" s="29">
        <f t="shared" si="1"/>
        <v>2877.4107142857142</v>
      </c>
      <c r="Y12" s="40"/>
      <c r="Z12" s="136" t="s">
        <v>285</v>
      </c>
      <c r="AA12" s="137">
        <f t="shared" si="2"/>
        <v>52.29</v>
      </c>
      <c r="AB12" s="137">
        <f t="shared" si="3"/>
        <v>42.21</v>
      </c>
    </row>
    <row r="13" spans="1:29" ht="51" customHeight="1" x14ac:dyDescent="0.2">
      <c r="A13" s="174">
        <v>7</v>
      </c>
      <c r="B13" s="175" t="s">
        <v>67</v>
      </c>
      <c r="C13" s="174" t="s">
        <v>35</v>
      </c>
      <c r="D13" s="143"/>
      <c r="E13" s="174"/>
      <c r="F13" s="174">
        <v>6</v>
      </c>
      <c r="G13" s="174"/>
      <c r="H13" s="174">
        <v>7</v>
      </c>
      <c r="I13" s="174"/>
      <c r="J13" s="174">
        <v>5</v>
      </c>
      <c r="K13" s="185">
        <v>7</v>
      </c>
      <c r="L13" s="39" t="s">
        <v>67</v>
      </c>
      <c r="M13" s="38" t="s">
        <v>35</v>
      </c>
      <c r="N13" s="38"/>
      <c r="O13" s="50">
        <v>60</v>
      </c>
      <c r="P13" s="51">
        <f>VLOOKUP(L13,'Đơn giá'!$B$33:$D$42,3,0)</f>
        <v>5500000</v>
      </c>
      <c r="Q13" s="138">
        <f t="shared" si="4"/>
        <v>183.33333333333334</v>
      </c>
      <c r="R13" s="40"/>
      <c r="S13" s="40">
        <f>S11</f>
        <v>36</v>
      </c>
      <c r="T13" s="40"/>
      <c r="U13" s="40">
        <f>U11</f>
        <v>28</v>
      </c>
      <c r="V13" s="40"/>
      <c r="W13" s="29">
        <f>Q13*S13</f>
        <v>6600</v>
      </c>
      <c r="X13" s="40"/>
      <c r="Y13" s="29">
        <f>Q13*U13</f>
        <v>5133.3333333333339</v>
      </c>
      <c r="Z13" s="136" t="s">
        <v>222</v>
      </c>
      <c r="AA13" s="137">
        <f t="shared" si="2"/>
        <v>0</v>
      </c>
      <c r="AB13" s="137">
        <f t="shared" si="3"/>
        <v>0</v>
      </c>
    </row>
    <row r="14" spans="1:29" ht="51" customHeight="1" x14ac:dyDescent="0.2">
      <c r="A14" s="174">
        <v>8</v>
      </c>
      <c r="B14" s="175" t="s">
        <v>71</v>
      </c>
      <c r="C14" s="174" t="s">
        <v>35</v>
      </c>
      <c r="D14" s="143"/>
      <c r="E14" s="174"/>
      <c r="F14" s="174">
        <v>6</v>
      </c>
      <c r="G14" s="174"/>
      <c r="H14" s="174">
        <v>7</v>
      </c>
      <c r="I14" s="174"/>
      <c r="J14" s="174">
        <v>5</v>
      </c>
      <c r="K14" s="50"/>
      <c r="L14" s="39"/>
      <c r="M14" s="38"/>
      <c r="N14" s="38"/>
      <c r="O14" s="50"/>
      <c r="P14" s="51"/>
      <c r="Q14" s="52"/>
      <c r="R14" s="40"/>
      <c r="S14" s="40"/>
      <c r="T14" s="40"/>
      <c r="U14" s="40"/>
      <c r="V14" s="29"/>
      <c r="W14" s="29"/>
      <c r="X14" s="29"/>
      <c r="Y14" s="29"/>
      <c r="Z14" s="136" t="s">
        <v>284</v>
      </c>
      <c r="AA14" s="137"/>
      <c r="AB14" s="137"/>
    </row>
    <row r="15" spans="1:29" ht="51" customHeight="1" x14ac:dyDescent="0.2">
      <c r="A15" s="174">
        <v>9</v>
      </c>
      <c r="B15" s="175" t="s">
        <v>42</v>
      </c>
      <c r="C15" s="174" t="s">
        <v>43</v>
      </c>
      <c r="D15" s="143"/>
      <c r="E15" s="174">
        <v>32.090000000000003</v>
      </c>
      <c r="F15" s="174"/>
      <c r="G15" s="174">
        <v>35.51</v>
      </c>
      <c r="H15" s="174"/>
      <c r="I15" s="174">
        <v>28.67</v>
      </c>
      <c r="J15" s="174"/>
      <c r="K15" s="50">
        <v>8</v>
      </c>
      <c r="L15" s="39"/>
      <c r="M15" s="38"/>
      <c r="N15" s="38"/>
      <c r="O15" s="50"/>
      <c r="P15" s="51"/>
      <c r="Q15" s="52"/>
      <c r="R15" s="40"/>
      <c r="S15" s="40"/>
      <c r="T15" s="40"/>
      <c r="U15" s="40"/>
      <c r="V15" s="29"/>
      <c r="W15" s="29"/>
      <c r="X15" s="29"/>
      <c r="Y15" s="29"/>
      <c r="Z15" s="136" t="s">
        <v>283</v>
      </c>
      <c r="AA15" s="137"/>
      <c r="AB15" s="137"/>
    </row>
    <row r="16" spans="1:29" s="16" customFormat="1" ht="54" customHeight="1" x14ac:dyDescent="0.2">
      <c r="A16" s="174"/>
      <c r="B16" s="175"/>
      <c r="C16" s="174"/>
      <c r="D16" s="143"/>
      <c r="E16" s="174"/>
      <c r="F16" s="174"/>
      <c r="G16" s="174"/>
      <c r="H16" s="174"/>
      <c r="I16" s="174"/>
      <c r="J16" s="174"/>
      <c r="K16" s="186"/>
      <c r="L16" s="53" t="s">
        <v>29</v>
      </c>
      <c r="M16" s="54"/>
      <c r="N16" s="54"/>
      <c r="O16" s="54"/>
      <c r="P16" s="54"/>
      <c r="Q16" s="54"/>
      <c r="R16" s="40"/>
      <c r="S16" s="55"/>
      <c r="T16" s="55"/>
      <c r="U16" s="55"/>
      <c r="V16" s="56">
        <f>SUM(V7:V14)</f>
        <v>23838.899444444447</v>
      </c>
      <c r="W16" s="56">
        <f>SUM(W7:W14)</f>
        <v>19457.142857142859</v>
      </c>
      <c r="X16" s="56">
        <f>SUM(X7:X14)</f>
        <v>19208.167380952382</v>
      </c>
      <c r="Y16" s="56">
        <f>SUM(Y7:Y14)</f>
        <v>15133.333333333334</v>
      </c>
      <c r="Z16" s="139"/>
      <c r="AA16" s="137"/>
      <c r="AB16" s="137"/>
    </row>
    <row r="17" spans="11:30" ht="15.75" x14ac:dyDescent="0.2">
      <c r="K17" s="34"/>
      <c r="L17" s="34"/>
      <c r="M17" s="34"/>
      <c r="N17" s="34"/>
      <c r="O17" s="34"/>
      <c r="P17" s="34"/>
      <c r="Q17" s="34"/>
      <c r="R17" s="34"/>
      <c r="S17" s="34"/>
      <c r="T17" s="34"/>
      <c r="U17" s="34"/>
      <c r="V17" s="34"/>
      <c r="W17" s="34"/>
      <c r="X17" s="34"/>
      <c r="Y17" s="34"/>
      <c r="Z17" s="34"/>
      <c r="AA17" s="137">
        <f>SUM(AA7:AA13)</f>
        <v>518.59</v>
      </c>
      <c r="AB17" s="137">
        <f>SUM(AB7:AB13)</f>
        <v>419.24</v>
      </c>
      <c r="AC17" s="34"/>
      <c r="AD17" s="47"/>
    </row>
    <row r="18" spans="11:30" x14ac:dyDescent="0.2">
      <c r="K18" s="34"/>
      <c r="L18" s="34"/>
      <c r="M18" s="34"/>
      <c r="N18" s="34"/>
      <c r="O18" s="34"/>
      <c r="P18" s="34"/>
      <c r="Q18" s="34"/>
      <c r="R18" s="34"/>
      <c r="S18" s="34"/>
      <c r="T18" s="34"/>
      <c r="U18" s="34"/>
      <c r="V18" s="34"/>
      <c r="W18" s="34"/>
      <c r="X18" s="34"/>
      <c r="Y18" s="34"/>
      <c r="Z18" s="34"/>
      <c r="AA18" s="34"/>
      <c r="AB18" s="34"/>
      <c r="AC18" s="34"/>
    </row>
    <row r="19" spans="11:30" ht="15.75" customHeight="1" x14ac:dyDescent="0.25">
      <c r="K19" s="268" t="s">
        <v>0</v>
      </c>
      <c r="L19" s="297" t="s">
        <v>1</v>
      </c>
      <c r="M19" s="259" t="s">
        <v>103</v>
      </c>
      <c r="N19" s="259"/>
      <c r="O19" s="259"/>
      <c r="P19" s="259"/>
      <c r="Q19" s="259" t="s">
        <v>28</v>
      </c>
      <c r="R19" s="259"/>
      <c r="S19" s="259"/>
      <c r="T19" s="259"/>
      <c r="U19" s="287" t="s">
        <v>313</v>
      </c>
      <c r="V19" s="287"/>
      <c r="W19" s="287"/>
      <c r="X19" s="287"/>
      <c r="Y19" s="287"/>
      <c r="Z19" s="288" t="s">
        <v>28</v>
      </c>
      <c r="AA19" s="288"/>
      <c r="AB19" s="288"/>
      <c r="AC19" s="288"/>
    </row>
    <row r="20" spans="11:30" ht="24" customHeight="1" x14ac:dyDescent="0.2">
      <c r="K20" s="268"/>
      <c r="L20" s="298"/>
      <c r="M20" s="295" t="s">
        <v>118</v>
      </c>
      <c r="N20" s="296"/>
      <c r="O20" s="295" t="s">
        <v>13</v>
      </c>
      <c r="P20" s="296"/>
      <c r="Q20" s="295" t="s">
        <v>117</v>
      </c>
      <c r="R20" s="296"/>
      <c r="S20" s="295" t="s">
        <v>13</v>
      </c>
      <c r="T20" s="296"/>
      <c r="U20" s="233" t="s">
        <v>314</v>
      </c>
      <c r="V20" s="233" t="s">
        <v>315</v>
      </c>
      <c r="W20" s="234" t="s">
        <v>316</v>
      </c>
      <c r="X20" s="234" t="s">
        <v>317</v>
      </c>
      <c r="Y20" s="234" t="s">
        <v>318</v>
      </c>
      <c r="Z20" s="285" t="s">
        <v>117</v>
      </c>
      <c r="AA20" s="286"/>
      <c r="AB20" s="285" t="s">
        <v>13</v>
      </c>
      <c r="AC20" s="286"/>
    </row>
    <row r="21" spans="11:30" ht="43.5" customHeight="1" x14ac:dyDescent="0.25">
      <c r="K21" s="268"/>
      <c r="L21" s="298"/>
      <c r="M21" s="28" t="s">
        <v>4</v>
      </c>
      <c r="N21" s="28" t="s">
        <v>5</v>
      </c>
      <c r="O21" s="28" t="s">
        <v>4</v>
      </c>
      <c r="P21" s="28" t="s">
        <v>5</v>
      </c>
      <c r="Q21" s="28" t="s">
        <v>4</v>
      </c>
      <c r="R21" s="28" t="s">
        <v>5</v>
      </c>
      <c r="S21" s="28" t="s">
        <v>4</v>
      </c>
      <c r="T21" s="28" t="s">
        <v>5</v>
      </c>
      <c r="U21" s="202"/>
      <c r="V21" s="202"/>
      <c r="W21" s="202"/>
      <c r="X21" s="202"/>
      <c r="Y21" s="202"/>
      <c r="Z21" s="205" t="s">
        <v>4</v>
      </c>
      <c r="AA21" s="205" t="s">
        <v>5</v>
      </c>
      <c r="AB21" s="205" t="s">
        <v>4</v>
      </c>
      <c r="AC21" s="205" t="s">
        <v>5</v>
      </c>
    </row>
    <row r="22" spans="11:30" ht="43.5" customHeight="1" x14ac:dyDescent="0.2">
      <c r="K22" s="148">
        <f>'Lao đông'!J31</f>
        <v>1</v>
      </c>
      <c r="L22" s="181" t="str">
        <f>'Lao đông'!K31</f>
        <v>Xác định các yếu tố ảnh hưởng đến giá đất của thửa đất/khu đất cần định giá</v>
      </c>
      <c r="M22" s="148">
        <f>'Lao đông'!L31</f>
        <v>15.22</v>
      </c>
      <c r="N22" s="148">
        <f>'Lao đông'!M31</f>
        <v>0</v>
      </c>
      <c r="O22" s="148">
        <f>'Lao đông'!N31</f>
        <v>18.420000000000002</v>
      </c>
      <c r="P22" s="148">
        <f>'Lao đông'!O31</f>
        <v>0</v>
      </c>
      <c r="Q22" s="29">
        <f>M22*$V$16/100</f>
        <v>3628.280495444445</v>
      </c>
      <c r="R22" s="29">
        <f>N22*$W$16/100</f>
        <v>0</v>
      </c>
      <c r="S22" s="29">
        <f>O22*$X$16/100</f>
        <v>3538.1444315714289</v>
      </c>
      <c r="T22" s="29">
        <f>P22*$Y$16/100</f>
        <v>0</v>
      </c>
      <c r="U22" s="150">
        <f>'Lao đông'!W8</f>
        <v>2.19</v>
      </c>
      <c r="V22" s="150">
        <f>'Lao đông'!X8</f>
        <v>1</v>
      </c>
      <c r="W22" s="150">
        <f>'Lao đông'!Y8</f>
        <v>1</v>
      </c>
      <c r="X22" s="150">
        <f>'Lao đông'!Z8</f>
        <v>1</v>
      </c>
      <c r="Y22" s="150">
        <f>'Lao đông'!AA8</f>
        <v>1</v>
      </c>
      <c r="Z22" s="206">
        <f>ROUND(Q22*U22*V22*W22*X22*Y22,0)</f>
        <v>7946</v>
      </c>
      <c r="AA22" s="206">
        <f>ROUND(R22*U22*V22*W22*X22*Y22,0)</f>
        <v>0</v>
      </c>
      <c r="AB22" s="206">
        <f>ROUND(S22*U22*V22*W22*X22*Y22,0)</f>
        <v>7749</v>
      </c>
      <c r="AC22" s="206">
        <f>ROUND(T22*U22*V22*W22*X22*Y22,0)</f>
        <v>0</v>
      </c>
    </row>
    <row r="23" spans="11:30" ht="68.25" customHeight="1" x14ac:dyDescent="0.25">
      <c r="K23" s="148">
        <f>'Lao đông'!J32</f>
        <v>2</v>
      </c>
      <c r="L23" s="181" t="str">
        <f>'Lao đông'!K32</f>
        <v>Thu thập, tổng hợp, phân tích thông tin</v>
      </c>
      <c r="M23" s="148">
        <f>'Lao đông'!L32</f>
        <v>26.09</v>
      </c>
      <c r="N23" s="148">
        <f>'Lao đông'!M32</f>
        <v>100</v>
      </c>
      <c r="O23" s="148">
        <f>'Lao đông'!N32</f>
        <v>26.32</v>
      </c>
      <c r="P23" s="148">
        <f>'Lao đông'!O32</f>
        <v>100</v>
      </c>
      <c r="Q23" s="29">
        <f t="shared" ref="Q23:Q26" si="5">M23*$V$16/100</f>
        <v>6219.5688650555558</v>
      </c>
      <c r="R23" s="29">
        <f t="shared" ref="R23:R26" si="6">N23*$W$16/100</f>
        <v>19457.142857142859</v>
      </c>
      <c r="S23" s="29">
        <f t="shared" ref="S23:S26" si="7">O23*$X$16/100</f>
        <v>5055.5896546666663</v>
      </c>
      <c r="T23" s="29">
        <f t="shared" ref="T23:T26" si="8">P23*$Y$16/100</f>
        <v>15133.333333333336</v>
      </c>
      <c r="U23" s="202">
        <f>'Lao đông'!W12</f>
        <v>2.19</v>
      </c>
      <c r="V23" s="202">
        <f>'Lao đông'!X12</f>
        <v>1</v>
      </c>
      <c r="W23" s="202">
        <f>'Lao đông'!Y12</f>
        <v>1</v>
      </c>
      <c r="X23" s="202">
        <f>'Lao đông'!Z12</f>
        <v>1</v>
      </c>
      <c r="Y23" s="202">
        <f>'Lao đông'!AA12</f>
        <v>1</v>
      </c>
      <c r="Z23" s="206">
        <f t="shared" ref="Z23:Z26" si="9">ROUND(Q23*U23*V23*W23*X23*Y23,0)</f>
        <v>13621</v>
      </c>
      <c r="AA23" s="206">
        <f t="shared" ref="AA23:AA26" si="10">ROUND(R23*U23*V23*W23*X23*Y23,0)</f>
        <v>42611</v>
      </c>
      <c r="AB23" s="206">
        <f t="shared" ref="AB23:AB26" si="11">ROUND(S23*U23*V23*W23*X23*Y23,0)</f>
        <v>11072</v>
      </c>
      <c r="AC23" s="206">
        <f t="shared" ref="AC23:AC26" si="12">ROUND(T23*U23*V23*W23*X23*Y23,0)</f>
        <v>33142</v>
      </c>
    </row>
    <row r="24" spans="11:30" ht="68.25" customHeight="1" x14ac:dyDescent="0.25">
      <c r="K24" s="148">
        <f>'Lao đông'!J33</f>
        <v>3</v>
      </c>
      <c r="L24" s="181" t="str">
        <f>'Lao đông'!K33</f>
        <v>Lựa chọn phương pháp định giá đất</v>
      </c>
      <c r="M24" s="148">
        <f>'Lao đông'!L33</f>
        <v>26.09</v>
      </c>
      <c r="N24" s="148">
        <f>'Lao đông'!M33</f>
        <v>0</v>
      </c>
      <c r="O24" s="148">
        <f>'Lao đông'!N33</f>
        <v>15.79</v>
      </c>
      <c r="P24" s="148">
        <f>'Lao đông'!O33</f>
        <v>0</v>
      </c>
      <c r="Q24" s="29">
        <f t="shared" si="5"/>
        <v>6219.5688650555558</v>
      </c>
      <c r="R24" s="29">
        <f t="shared" si="6"/>
        <v>0</v>
      </c>
      <c r="S24" s="29">
        <f t="shared" si="7"/>
        <v>3032.969629452381</v>
      </c>
      <c r="T24" s="29">
        <f t="shared" si="8"/>
        <v>0</v>
      </c>
      <c r="U24" s="202">
        <f>'Lao đông'!W17</f>
        <v>2.19</v>
      </c>
      <c r="V24" s="202">
        <f>'Lao đông'!X17</f>
        <v>1</v>
      </c>
      <c r="W24" s="202">
        <f>'Lao đông'!Y17</f>
        <v>1</v>
      </c>
      <c r="X24" s="202">
        <f>'Lao đông'!Z17</f>
        <v>1</v>
      </c>
      <c r="Y24" s="202">
        <f>'Lao đông'!AA17</f>
        <v>1</v>
      </c>
      <c r="Z24" s="206">
        <f t="shared" si="9"/>
        <v>13621</v>
      </c>
      <c r="AA24" s="206">
        <f t="shared" si="10"/>
        <v>0</v>
      </c>
      <c r="AB24" s="206">
        <f t="shared" si="11"/>
        <v>6642</v>
      </c>
      <c r="AC24" s="206">
        <f t="shared" si="12"/>
        <v>0</v>
      </c>
    </row>
    <row r="25" spans="11:30" ht="68.25" customHeight="1" x14ac:dyDescent="0.25">
      <c r="K25" s="148">
        <f>'Lao đông'!J34</f>
        <v>4</v>
      </c>
      <c r="L25" s="181" t="str">
        <f>'Lao đông'!K34</f>
        <v>Xây dựng báo cáo thuyết minh xây dựng phương án giá đất, dự thảo chứng thư định giá đất</v>
      </c>
      <c r="M25" s="148">
        <f>'Lao đông'!L34</f>
        <v>21.74</v>
      </c>
      <c r="N25" s="148">
        <f>'Lao đông'!M34</f>
        <v>0</v>
      </c>
      <c r="O25" s="148">
        <f>'Lao đông'!N34</f>
        <v>26.32</v>
      </c>
      <c r="P25" s="148">
        <f>'Lao đông'!O34</f>
        <v>0</v>
      </c>
      <c r="Q25" s="29">
        <f t="shared" si="5"/>
        <v>5182.5767392222224</v>
      </c>
      <c r="R25" s="29">
        <f t="shared" si="6"/>
        <v>0</v>
      </c>
      <c r="S25" s="29">
        <f t="shared" si="7"/>
        <v>5055.5896546666663</v>
      </c>
      <c r="T25" s="29">
        <f t="shared" si="8"/>
        <v>0</v>
      </c>
      <c r="U25" s="202">
        <f>'Lao đông'!W20</f>
        <v>1</v>
      </c>
      <c r="V25" s="202">
        <f>'Lao đông'!X20</f>
        <v>1</v>
      </c>
      <c r="W25" s="202">
        <f>'Lao đông'!Y20</f>
        <v>1</v>
      </c>
      <c r="X25" s="202">
        <f>'Lao đông'!Z20</f>
        <v>1</v>
      </c>
      <c r="Y25" s="202">
        <f>'Lao đông'!AA20</f>
        <v>1</v>
      </c>
      <c r="Z25" s="206">
        <f t="shared" si="9"/>
        <v>5183</v>
      </c>
      <c r="AA25" s="206">
        <f t="shared" si="10"/>
        <v>0</v>
      </c>
      <c r="AB25" s="206">
        <f t="shared" si="11"/>
        <v>5056</v>
      </c>
      <c r="AC25" s="206">
        <f t="shared" si="12"/>
        <v>0</v>
      </c>
    </row>
    <row r="26" spans="11:30" ht="68.25" customHeight="1" x14ac:dyDescent="0.25">
      <c r="K26" s="148">
        <f>'Lao đông'!J35</f>
        <v>5</v>
      </c>
      <c r="L26" s="181" t="str">
        <f>'Lao đông'!K35</f>
        <v>Hoàn thiện báo cáo thuyết minh xây dựng  phương án giá đất và chứng thư định giá đất</v>
      </c>
      <c r="M26" s="148">
        <f>'Lao đông'!L35</f>
        <v>10.86</v>
      </c>
      <c r="N26" s="148">
        <f>'Lao đông'!M35</f>
        <v>0</v>
      </c>
      <c r="O26" s="148">
        <f>'Lao đông'!N35</f>
        <v>13.15</v>
      </c>
      <c r="P26" s="148">
        <f>'Lao đông'!O35</f>
        <v>0</v>
      </c>
      <c r="Q26" s="29">
        <f t="shared" si="5"/>
        <v>2588.9044796666667</v>
      </c>
      <c r="R26" s="29">
        <f t="shared" si="6"/>
        <v>0</v>
      </c>
      <c r="S26" s="29">
        <f t="shared" si="7"/>
        <v>2525.8740105952384</v>
      </c>
      <c r="T26" s="29">
        <f t="shared" si="8"/>
        <v>0</v>
      </c>
      <c r="U26" s="202">
        <f>'Lao đông'!W23</f>
        <v>1</v>
      </c>
      <c r="V26" s="202">
        <f>'Lao đông'!X23</f>
        <v>1</v>
      </c>
      <c r="W26" s="202">
        <f>'Lao đông'!Y23</f>
        <v>1</v>
      </c>
      <c r="X26" s="202">
        <f>'Lao đông'!Z23</f>
        <v>1</v>
      </c>
      <c r="Y26" s="202">
        <f>'Lao đông'!AA23</f>
        <v>1</v>
      </c>
      <c r="Z26" s="206">
        <f t="shared" si="9"/>
        <v>2589</v>
      </c>
      <c r="AA26" s="206">
        <f t="shared" si="10"/>
        <v>0</v>
      </c>
      <c r="AB26" s="206">
        <f t="shared" si="11"/>
        <v>2526</v>
      </c>
      <c r="AC26" s="206">
        <f t="shared" si="12"/>
        <v>0</v>
      </c>
    </row>
    <row r="27" spans="11:30" s="142" customFormat="1" ht="48" customHeight="1" x14ac:dyDescent="0.25">
      <c r="K27" s="140"/>
      <c r="L27" s="140" t="str">
        <f>'Dụng cụ'!L40</f>
        <v>Tổng</v>
      </c>
      <c r="M27" s="140">
        <f>SUM(M22:M26)</f>
        <v>100</v>
      </c>
      <c r="N27" s="140">
        <f t="shared" ref="N27:P27" si="13">SUM(N22:N26)</f>
        <v>100</v>
      </c>
      <c r="O27" s="140">
        <f t="shared" si="13"/>
        <v>100</v>
      </c>
      <c r="P27" s="140">
        <f t="shared" si="13"/>
        <v>100</v>
      </c>
      <c r="Q27" s="141">
        <f>SUM(Q22:Q26)</f>
        <v>23838.899444444447</v>
      </c>
      <c r="R27" s="141">
        <f t="shared" ref="R27:T27" si="14">SUM(R22:R26)</f>
        <v>19457.142857142859</v>
      </c>
      <c r="S27" s="141">
        <f t="shared" si="14"/>
        <v>19208.167380952382</v>
      </c>
      <c r="T27" s="141">
        <f t="shared" si="14"/>
        <v>15133.333333333336</v>
      </c>
      <c r="U27" s="237"/>
      <c r="V27" s="237"/>
      <c r="W27" s="237"/>
      <c r="X27" s="237"/>
      <c r="Y27" s="237"/>
      <c r="Z27" s="211">
        <f t="shared" ref="Z27:AC27" si="15">SUM(Z22:Z26)</f>
        <v>42960</v>
      </c>
      <c r="AA27" s="211">
        <f t="shared" si="15"/>
        <v>42611</v>
      </c>
      <c r="AB27" s="211">
        <f t="shared" si="15"/>
        <v>33045</v>
      </c>
      <c r="AC27" s="211">
        <f t="shared" si="15"/>
        <v>33142</v>
      </c>
    </row>
    <row r="28" spans="11:30" ht="15.75" x14ac:dyDescent="0.2">
      <c r="Y28" s="47"/>
    </row>
  </sheetData>
  <mergeCells count="35">
    <mergeCell ref="Z20:AA20"/>
    <mergeCell ref="AB20:AC20"/>
    <mergeCell ref="A4:A6"/>
    <mergeCell ref="B4:B6"/>
    <mergeCell ref="C4:C6"/>
    <mergeCell ref="D4:D6"/>
    <mergeCell ref="G5:H5"/>
    <mergeCell ref="I5:J5"/>
    <mergeCell ref="E4:J4"/>
    <mergeCell ref="E5:F5"/>
    <mergeCell ref="O4:O6"/>
    <mergeCell ref="R5:S5"/>
    <mergeCell ref="X5:Y5"/>
    <mergeCell ref="V5:W5"/>
    <mergeCell ref="P4:P6"/>
    <mergeCell ref="Z4:Z6"/>
    <mergeCell ref="N4:N6"/>
    <mergeCell ref="U19:Y19"/>
    <mergeCell ref="Z19:AC19"/>
    <mergeCell ref="K2:Y2"/>
    <mergeCell ref="S20:T20"/>
    <mergeCell ref="Q20:R20"/>
    <mergeCell ref="K19:K21"/>
    <mergeCell ref="L19:L21"/>
    <mergeCell ref="M20:N20"/>
    <mergeCell ref="O20:P20"/>
    <mergeCell ref="M19:P19"/>
    <mergeCell ref="Q19:T19"/>
    <mergeCell ref="R4:U4"/>
    <mergeCell ref="V4:Y4"/>
    <mergeCell ref="M4:M6"/>
    <mergeCell ref="L4:L6"/>
    <mergeCell ref="K4:K6"/>
    <mergeCell ref="T5:U5"/>
    <mergeCell ref="Q4:Q6"/>
  </mergeCells>
  <pageMargins left="0.53" right="0.38" top="0.61" bottom="0.75" header="0.3" footer="0.3"/>
  <pageSetup paperSize="9" scale="7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2:X33"/>
  <sheetViews>
    <sheetView topLeftCell="A11" zoomScale="68" workbookViewId="0">
      <selection activeCell="P40" sqref="P40"/>
    </sheetView>
  </sheetViews>
  <sheetFormatPr defaultColWidth="9.125" defaultRowHeight="15" x14ac:dyDescent="0.25"/>
  <cols>
    <col min="1" max="1" width="9.125" style="188"/>
    <col min="2" max="2" width="18.25" style="188" customWidth="1"/>
    <col min="3" max="3" width="9.125" style="188"/>
    <col min="4" max="4" width="12.875" style="188" customWidth="1"/>
    <col min="5" max="5" width="15" style="188" customWidth="1"/>
    <col min="6" max="6" width="7.125" style="188" customWidth="1"/>
    <col min="7" max="7" width="28.625" style="188" customWidth="1"/>
    <col min="8" max="8" width="9.125" style="188"/>
    <col min="9" max="9" width="11.5" style="188" hidden="1" customWidth="1"/>
    <col min="10" max="10" width="12.5" style="188" customWidth="1"/>
    <col min="11" max="11" width="13" style="188" customWidth="1"/>
    <col min="12" max="12" width="13.625" style="188" customWidth="1"/>
    <col min="13" max="13" width="13.125" style="188" customWidth="1"/>
    <col min="14" max="14" width="19.75" style="188" customWidth="1"/>
    <col min="15" max="15" width="13" style="188" customWidth="1"/>
    <col min="16" max="16384" width="9.125" style="188"/>
  </cols>
  <sheetData>
    <row r="2" spans="1:14" ht="30" customHeight="1" x14ac:dyDescent="0.25">
      <c r="F2" s="305" t="s">
        <v>128</v>
      </c>
      <c r="G2" s="305"/>
      <c r="H2" s="305"/>
      <c r="I2" s="305"/>
      <c r="J2" s="305"/>
      <c r="K2" s="305"/>
      <c r="L2" s="305"/>
      <c r="M2" s="305"/>
    </row>
    <row r="4" spans="1:14" ht="47.25" customHeight="1" x14ac:dyDescent="0.25">
      <c r="A4" s="306" t="s">
        <v>0</v>
      </c>
      <c r="B4" s="306" t="s">
        <v>75</v>
      </c>
      <c r="C4" s="306" t="s">
        <v>32</v>
      </c>
      <c r="D4" s="308" t="s">
        <v>295</v>
      </c>
      <c r="E4" s="309"/>
      <c r="F4" s="306" t="s">
        <v>0</v>
      </c>
      <c r="G4" s="306" t="s">
        <v>75</v>
      </c>
      <c r="H4" s="306" t="s">
        <v>32</v>
      </c>
      <c r="I4" s="306" t="s">
        <v>33</v>
      </c>
      <c r="J4" s="308" t="s">
        <v>293</v>
      </c>
      <c r="K4" s="309"/>
      <c r="L4" s="306" t="s">
        <v>28</v>
      </c>
      <c r="M4" s="307"/>
      <c r="N4" s="310" t="s">
        <v>213</v>
      </c>
    </row>
    <row r="5" spans="1:14" ht="34.5" customHeight="1" x14ac:dyDescent="0.25">
      <c r="A5" s="307"/>
      <c r="B5" s="307"/>
      <c r="C5" s="307"/>
      <c r="D5" s="189" t="s">
        <v>4</v>
      </c>
      <c r="E5" s="189" t="s">
        <v>5</v>
      </c>
      <c r="F5" s="307"/>
      <c r="G5" s="307"/>
      <c r="H5" s="307"/>
      <c r="I5" s="307"/>
      <c r="J5" s="189" t="s">
        <v>4</v>
      </c>
      <c r="K5" s="189" t="s">
        <v>5</v>
      </c>
      <c r="L5" s="189" t="s">
        <v>4</v>
      </c>
      <c r="M5" s="189" t="s">
        <v>5</v>
      </c>
      <c r="N5" s="311"/>
    </row>
    <row r="6" spans="1:14" ht="24" customHeight="1" x14ac:dyDescent="0.25">
      <c r="A6" s="117">
        <v>1</v>
      </c>
      <c r="B6" s="190" t="s">
        <v>288</v>
      </c>
      <c r="C6" s="117" t="s">
        <v>35</v>
      </c>
      <c r="D6" s="117">
        <v>1</v>
      </c>
      <c r="E6" s="117"/>
      <c r="F6" s="136"/>
      <c r="G6" s="136"/>
      <c r="H6" s="136"/>
      <c r="I6" s="136"/>
      <c r="J6" s="189"/>
      <c r="K6" s="189"/>
      <c r="L6" s="189"/>
      <c r="M6" s="189"/>
      <c r="N6" s="150"/>
    </row>
    <row r="7" spans="1:14" ht="15.75" x14ac:dyDescent="0.25">
      <c r="A7" s="117">
        <v>2</v>
      </c>
      <c r="B7" s="190" t="s">
        <v>76</v>
      </c>
      <c r="C7" s="117" t="s">
        <v>77</v>
      </c>
      <c r="D7" s="117">
        <v>1</v>
      </c>
      <c r="E7" s="117"/>
      <c r="F7" s="189">
        <v>1</v>
      </c>
      <c r="G7" s="191" t="s">
        <v>76</v>
      </c>
      <c r="H7" s="189" t="s">
        <v>77</v>
      </c>
      <c r="I7" s="192">
        <f>VLOOKUP(G7,'Đơn giá'!$B$46:$D$62,3,0)</f>
        <v>12000</v>
      </c>
      <c r="J7" s="193">
        <f>D7</f>
        <v>1</v>
      </c>
      <c r="K7" s="193">
        <f>E7</f>
        <v>0</v>
      </c>
      <c r="L7" s="194">
        <f t="shared" ref="L7:L12" si="0">I7*J7</f>
        <v>12000</v>
      </c>
      <c r="M7" s="194">
        <f t="shared" ref="M7:M15" si="1">I7*K7</f>
        <v>0</v>
      </c>
      <c r="N7" s="302" t="s">
        <v>294</v>
      </c>
    </row>
    <row r="8" spans="1:14" ht="18.75" customHeight="1" x14ac:dyDescent="0.25">
      <c r="A8" s="117">
        <v>3</v>
      </c>
      <c r="B8" s="190" t="s">
        <v>80</v>
      </c>
      <c r="C8" s="117" t="s">
        <v>41</v>
      </c>
      <c r="D8" s="117">
        <v>1</v>
      </c>
      <c r="E8" s="117">
        <v>1</v>
      </c>
      <c r="F8" s="189">
        <v>2</v>
      </c>
      <c r="G8" s="191" t="s">
        <v>80</v>
      </c>
      <c r="H8" s="189" t="s">
        <v>41</v>
      </c>
      <c r="I8" s="192">
        <f>VLOOKUP(G8,'Đơn giá'!$B$46:$D$62,3,0)</f>
        <v>14850</v>
      </c>
      <c r="J8" s="193">
        <f t="shared" ref="J8:J20" si="2">D8</f>
        <v>1</v>
      </c>
      <c r="K8" s="193">
        <f t="shared" ref="K8:K20" si="3">E8</f>
        <v>1</v>
      </c>
      <c r="L8" s="194">
        <f t="shared" si="0"/>
        <v>14850</v>
      </c>
      <c r="M8" s="194">
        <f t="shared" si="1"/>
        <v>14850</v>
      </c>
      <c r="N8" s="303"/>
    </row>
    <row r="9" spans="1:14" ht="18.75" customHeight="1" x14ac:dyDescent="0.25">
      <c r="A9" s="117">
        <v>4</v>
      </c>
      <c r="B9" s="190" t="s">
        <v>79</v>
      </c>
      <c r="C9" s="117" t="s">
        <v>289</v>
      </c>
      <c r="D9" s="117">
        <v>1</v>
      </c>
      <c r="E9" s="117">
        <v>1</v>
      </c>
      <c r="F9" s="189">
        <v>3</v>
      </c>
      <c r="G9" s="191" t="s">
        <v>79</v>
      </c>
      <c r="H9" s="189" t="s">
        <v>35</v>
      </c>
      <c r="I9" s="192">
        <f>VLOOKUP(G9,'Đơn giá'!$B$46:$D$62,3,0)</f>
        <v>2500</v>
      </c>
      <c r="J9" s="193">
        <f t="shared" si="2"/>
        <v>1</v>
      </c>
      <c r="K9" s="193">
        <f t="shared" si="3"/>
        <v>1</v>
      </c>
      <c r="L9" s="194">
        <f t="shared" si="0"/>
        <v>2500</v>
      </c>
      <c r="M9" s="194">
        <f t="shared" si="1"/>
        <v>2500</v>
      </c>
      <c r="N9" s="303"/>
    </row>
    <row r="10" spans="1:14" ht="18.75" customHeight="1" x14ac:dyDescent="0.25">
      <c r="A10" s="117">
        <v>5</v>
      </c>
      <c r="B10" s="190" t="s">
        <v>95</v>
      </c>
      <c r="C10" s="117" t="s">
        <v>289</v>
      </c>
      <c r="D10" s="117">
        <v>1</v>
      </c>
      <c r="E10" s="117">
        <v>1</v>
      </c>
      <c r="F10" s="189">
        <v>4</v>
      </c>
      <c r="G10" s="191" t="s">
        <v>95</v>
      </c>
      <c r="H10" s="189" t="s">
        <v>35</v>
      </c>
      <c r="I10" s="192">
        <f>VLOOKUP(G10,'Đơn giá'!$B$46:$D$62,3,0)</f>
        <v>3600</v>
      </c>
      <c r="J10" s="193">
        <f t="shared" si="2"/>
        <v>1</v>
      </c>
      <c r="K10" s="193">
        <f t="shared" si="3"/>
        <v>1</v>
      </c>
      <c r="L10" s="194">
        <f t="shared" si="0"/>
        <v>3600</v>
      </c>
      <c r="M10" s="194">
        <f t="shared" si="1"/>
        <v>3600</v>
      </c>
      <c r="N10" s="303"/>
    </row>
    <row r="11" spans="1:14" ht="18.75" customHeight="1" x14ac:dyDescent="0.25">
      <c r="A11" s="117">
        <v>6</v>
      </c>
      <c r="B11" s="190" t="s">
        <v>290</v>
      </c>
      <c r="C11" s="117" t="s">
        <v>85</v>
      </c>
      <c r="D11" s="117">
        <v>0.09</v>
      </c>
      <c r="E11" s="117"/>
      <c r="F11" s="189">
        <v>5</v>
      </c>
      <c r="G11" s="191" t="s">
        <v>91</v>
      </c>
      <c r="H11" s="189" t="s">
        <v>85</v>
      </c>
      <c r="I11" s="192">
        <f>VLOOKUP(G11,'Đơn giá'!$B$46:$D$62,3,0)</f>
        <v>3901000</v>
      </c>
      <c r="J11" s="193">
        <f t="shared" si="2"/>
        <v>0.09</v>
      </c>
      <c r="K11" s="193">
        <f t="shared" si="3"/>
        <v>0</v>
      </c>
      <c r="L11" s="194">
        <f t="shared" si="0"/>
        <v>351090</v>
      </c>
      <c r="M11" s="194">
        <f t="shared" si="1"/>
        <v>0</v>
      </c>
      <c r="N11" s="303"/>
    </row>
    <row r="12" spans="1:14" ht="15.75" x14ac:dyDescent="0.25">
      <c r="A12" s="117">
        <v>7</v>
      </c>
      <c r="B12" s="190" t="s">
        <v>291</v>
      </c>
      <c r="C12" s="117" t="s">
        <v>85</v>
      </c>
      <c r="D12" s="117">
        <v>0.12</v>
      </c>
      <c r="E12" s="117"/>
      <c r="F12" s="189">
        <v>6</v>
      </c>
      <c r="G12" s="195" t="s">
        <v>92</v>
      </c>
      <c r="H12" s="189" t="s">
        <v>85</v>
      </c>
      <c r="I12" s="192">
        <f>VLOOKUP(G12,'Đơn giá'!$B$46:$D$62,3,0)</f>
        <v>850000</v>
      </c>
      <c r="J12" s="193">
        <f t="shared" si="2"/>
        <v>0.12</v>
      </c>
      <c r="K12" s="193">
        <f t="shared" si="3"/>
        <v>0</v>
      </c>
      <c r="L12" s="194">
        <f t="shared" si="0"/>
        <v>102000</v>
      </c>
      <c r="M12" s="194">
        <f t="shared" si="1"/>
        <v>0</v>
      </c>
      <c r="N12" s="303"/>
    </row>
    <row r="13" spans="1:14" ht="15.75" x14ac:dyDescent="0.25">
      <c r="A13" s="117">
        <v>8</v>
      </c>
      <c r="B13" s="190" t="s">
        <v>78</v>
      </c>
      <c r="C13" s="117" t="s">
        <v>289</v>
      </c>
      <c r="D13" s="117">
        <v>2</v>
      </c>
      <c r="E13" s="117">
        <v>1</v>
      </c>
      <c r="F13" s="189">
        <v>7</v>
      </c>
      <c r="G13" s="191" t="s">
        <v>78</v>
      </c>
      <c r="H13" s="189" t="s">
        <v>35</v>
      </c>
      <c r="I13" s="192">
        <f>VLOOKUP(G13,'Đơn giá'!$B$46:$D$62,3,0)</f>
        <v>3000</v>
      </c>
      <c r="J13" s="193">
        <f t="shared" si="2"/>
        <v>2</v>
      </c>
      <c r="K13" s="193">
        <f t="shared" si="3"/>
        <v>1</v>
      </c>
      <c r="L13" s="194">
        <f>I13*J13</f>
        <v>6000</v>
      </c>
      <c r="M13" s="194">
        <f t="shared" si="1"/>
        <v>3000</v>
      </c>
      <c r="N13" s="303"/>
    </row>
    <row r="14" spans="1:14" ht="15.75" x14ac:dyDescent="0.25">
      <c r="A14" s="117">
        <v>9</v>
      </c>
      <c r="B14" s="190" t="s">
        <v>93</v>
      </c>
      <c r="C14" s="117" t="s">
        <v>94</v>
      </c>
      <c r="D14" s="117">
        <v>1</v>
      </c>
      <c r="E14" s="117">
        <v>1</v>
      </c>
      <c r="F14" s="189">
        <v>8</v>
      </c>
      <c r="G14" s="191" t="s">
        <v>93</v>
      </c>
      <c r="H14" s="189" t="s">
        <v>94</v>
      </c>
      <c r="I14" s="192">
        <f>VLOOKUP(G14,'Đơn giá'!$B$46:$D$62,3,0)</f>
        <v>14500</v>
      </c>
      <c r="J14" s="193">
        <f t="shared" si="2"/>
        <v>1</v>
      </c>
      <c r="K14" s="193">
        <f t="shared" si="3"/>
        <v>1</v>
      </c>
      <c r="L14" s="194">
        <f t="shared" ref="L14:L15" si="4">I14*J14</f>
        <v>14500</v>
      </c>
      <c r="M14" s="194">
        <f t="shared" si="1"/>
        <v>14500</v>
      </c>
      <c r="N14" s="303"/>
    </row>
    <row r="15" spans="1:14" ht="15.75" x14ac:dyDescent="0.25">
      <c r="A15" s="117">
        <v>10</v>
      </c>
      <c r="B15" s="190" t="s">
        <v>83</v>
      </c>
      <c r="C15" s="117" t="s">
        <v>289</v>
      </c>
      <c r="D15" s="117">
        <v>1</v>
      </c>
      <c r="E15" s="117">
        <v>1</v>
      </c>
      <c r="F15" s="189">
        <v>9</v>
      </c>
      <c r="G15" s="191" t="s">
        <v>83</v>
      </c>
      <c r="H15" s="189" t="s">
        <v>35</v>
      </c>
      <c r="I15" s="192">
        <f>VLOOKUP(G15,'Đơn giá'!$B$46:$D$62,3,0)</f>
        <v>5000</v>
      </c>
      <c r="J15" s="193">
        <f t="shared" si="2"/>
        <v>1</v>
      </c>
      <c r="K15" s="193">
        <f t="shared" si="3"/>
        <v>1</v>
      </c>
      <c r="L15" s="194">
        <f t="shared" si="4"/>
        <v>5000</v>
      </c>
      <c r="M15" s="194">
        <f t="shared" si="1"/>
        <v>5000</v>
      </c>
      <c r="N15" s="303"/>
    </row>
    <row r="16" spans="1:14" ht="15.75" customHeight="1" x14ac:dyDescent="0.25">
      <c r="A16" s="117">
        <v>11</v>
      </c>
      <c r="B16" s="190" t="s">
        <v>89</v>
      </c>
      <c r="C16" s="117" t="s">
        <v>88</v>
      </c>
      <c r="D16" s="117">
        <v>0.5</v>
      </c>
      <c r="E16" s="117">
        <v>0.5</v>
      </c>
      <c r="F16" s="189">
        <v>10</v>
      </c>
      <c r="G16" s="195" t="s">
        <v>89</v>
      </c>
      <c r="H16" s="189" t="s">
        <v>88</v>
      </c>
      <c r="I16" s="192">
        <f>VLOOKUP(G16,'Đơn giá'!$B$46:$D$62,3,0)</f>
        <v>65000</v>
      </c>
      <c r="J16" s="193">
        <f t="shared" si="2"/>
        <v>0.5</v>
      </c>
      <c r="K16" s="193">
        <f t="shared" si="3"/>
        <v>0.5</v>
      </c>
      <c r="L16" s="194">
        <f>I16*J16</f>
        <v>32500</v>
      </c>
      <c r="M16" s="194">
        <f>I16*K16</f>
        <v>32500</v>
      </c>
      <c r="N16" s="303"/>
    </row>
    <row r="17" spans="1:24" ht="15.75" x14ac:dyDescent="0.25">
      <c r="A17" s="117">
        <v>12</v>
      </c>
      <c r="B17" s="190" t="s">
        <v>87</v>
      </c>
      <c r="C17" s="117" t="s">
        <v>88</v>
      </c>
      <c r="D17" s="117">
        <v>0.3</v>
      </c>
      <c r="E17" s="117"/>
      <c r="F17" s="189">
        <v>11</v>
      </c>
      <c r="G17" s="191" t="s">
        <v>87</v>
      </c>
      <c r="H17" s="189" t="s">
        <v>88</v>
      </c>
      <c r="I17" s="192">
        <f>VLOOKUP(G17,'Đơn giá'!$B$46:$D$62,3,0)</f>
        <v>145000</v>
      </c>
      <c r="J17" s="193">
        <f t="shared" si="2"/>
        <v>0.3</v>
      </c>
      <c r="K17" s="193">
        <f t="shared" si="3"/>
        <v>0</v>
      </c>
      <c r="L17" s="194">
        <f t="shared" ref="L17" si="5">I17*J17</f>
        <v>43500</v>
      </c>
      <c r="M17" s="194">
        <f t="shared" ref="M17" si="6">I17*K17</f>
        <v>0</v>
      </c>
      <c r="N17" s="303"/>
    </row>
    <row r="18" spans="1:24" ht="15.75" x14ac:dyDescent="0.25">
      <c r="A18" s="117">
        <v>13</v>
      </c>
      <c r="B18" s="190" t="s">
        <v>84</v>
      </c>
      <c r="C18" s="117" t="s">
        <v>85</v>
      </c>
      <c r="D18" s="117">
        <v>0.5</v>
      </c>
      <c r="E18" s="117"/>
      <c r="F18" s="189">
        <v>12</v>
      </c>
      <c r="G18" s="191" t="s">
        <v>84</v>
      </c>
      <c r="H18" s="189" t="s">
        <v>35</v>
      </c>
      <c r="I18" s="192">
        <f>VLOOKUP(G18,'Đơn giá'!$B$46:$D$62,3,0)</f>
        <v>4200</v>
      </c>
      <c r="J18" s="193">
        <f t="shared" si="2"/>
        <v>0.5</v>
      </c>
      <c r="K18" s="193">
        <f t="shared" si="3"/>
        <v>0</v>
      </c>
      <c r="L18" s="194">
        <f t="shared" ref="L18:L20" si="7">I18*J18</f>
        <v>2100</v>
      </c>
      <c r="M18" s="194">
        <f t="shared" ref="M18:M20" si="8">I18*K18</f>
        <v>0</v>
      </c>
      <c r="N18" s="303"/>
    </row>
    <row r="19" spans="1:24" ht="15.75" x14ac:dyDescent="0.25">
      <c r="A19" s="117">
        <v>14</v>
      </c>
      <c r="B19" s="190" t="s">
        <v>86</v>
      </c>
      <c r="C19" s="117" t="s">
        <v>85</v>
      </c>
      <c r="D19" s="117">
        <v>0.5</v>
      </c>
      <c r="E19" s="117"/>
      <c r="F19" s="189">
        <v>13</v>
      </c>
      <c r="G19" s="191" t="s">
        <v>86</v>
      </c>
      <c r="H19" s="189" t="s">
        <v>35</v>
      </c>
      <c r="I19" s="192">
        <f>VLOOKUP(G19,'Đơn giá'!$B$46:$D$62,3,0)</f>
        <v>2700</v>
      </c>
      <c r="J19" s="193">
        <f t="shared" si="2"/>
        <v>0.5</v>
      </c>
      <c r="K19" s="193">
        <f t="shared" si="3"/>
        <v>0</v>
      </c>
      <c r="L19" s="194">
        <f t="shared" si="7"/>
        <v>1350</v>
      </c>
      <c r="M19" s="194">
        <f t="shared" si="8"/>
        <v>0</v>
      </c>
      <c r="N19" s="303"/>
    </row>
    <row r="20" spans="1:24" ht="15.75" x14ac:dyDescent="0.25">
      <c r="A20" s="117">
        <v>15</v>
      </c>
      <c r="B20" s="190" t="s">
        <v>292</v>
      </c>
      <c r="C20" s="117" t="s">
        <v>289</v>
      </c>
      <c r="D20" s="117"/>
      <c r="E20" s="117">
        <v>1</v>
      </c>
      <c r="F20" s="189">
        <v>14</v>
      </c>
      <c r="G20" s="191" t="s">
        <v>96</v>
      </c>
      <c r="H20" s="189" t="s">
        <v>35</v>
      </c>
      <c r="I20" s="192">
        <f>VLOOKUP(G20,'Đơn giá'!$B$46:$D$62,3,0)</f>
        <v>3500</v>
      </c>
      <c r="J20" s="193">
        <f t="shared" si="2"/>
        <v>0</v>
      </c>
      <c r="K20" s="193">
        <f t="shared" si="3"/>
        <v>1</v>
      </c>
      <c r="L20" s="194">
        <f t="shared" si="7"/>
        <v>0</v>
      </c>
      <c r="M20" s="194">
        <f t="shared" si="8"/>
        <v>3500</v>
      </c>
      <c r="N20" s="304"/>
    </row>
    <row r="21" spans="1:24" ht="20.25" customHeight="1" x14ac:dyDescent="0.25">
      <c r="F21" s="196"/>
      <c r="G21" s="197" t="s">
        <v>227</v>
      </c>
      <c r="H21" s="198"/>
      <c r="I21" s="198"/>
      <c r="J21" s="199"/>
      <c r="K21" s="200"/>
      <c r="L21" s="201">
        <f>SUM(L7:L20)</f>
        <v>590990</v>
      </c>
      <c r="M21" s="201">
        <f>SUM(M7:M20)</f>
        <v>79450</v>
      </c>
      <c r="N21" s="202"/>
    </row>
    <row r="22" spans="1:24" ht="15.75" x14ac:dyDescent="0.25">
      <c r="N22" s="203"/>
    </row>
    <row r="25" spans="1:24" ht="15.75" customHeight="1" x14ac:dyDescent="0.25">
      <c r="F25" s="312" t="s">
        <v>0</v>
      </c>
      <c r="G25" s="313" t="s">
        <v>1</v>
      </c>
      <c r="H25" s="288" t="s">
        <v>103</v>
      </c>
      <c r="I25" s="288"/>
      <c r="J25" s="288"/>
      <c r="K25" s="288"/>
      <c r="L25" s="288" t="s">
        <v>28</v>
      </c>
      <c r="M25" s="288"/>
      <c r="N25" s="288"/>
      <c r="O25" s="288"/>
      <c r="P25" s="287" t="s">
        <v>313</v>
      </c>
      <c r="Q25" s="287"/>
      <c r="R25" s="287"/>
      <c r="S25" s="287"/>
      <c r="T25" s="287"/>
      <c r="U25" s="288" t="s">
        <v>28</v>
      </c>
      <c r="V25" s="288"/>
      <c r="W25" s="288"/>
      <c r="X25" s="288"/>
    </row>
    <row r="26" spans="1:24" ht="33" customHeight="1" x14ac:dyDescent="0.25">
      <c r="F26" s="312"/>
      <c r="G26" s="314"/>
      <c r="H26" s="285" t="s">
        <v>118</v>
      </c>
      <c r="I26" s="286"/>
      <c r="J26" s="285" t="s">
        <v>13</v>
      </c>
      <c r="K26" s="286"/>
      <c r="L26" s="285" t="s">
        <v>117</v>
      </c>
      <c r="M26" s="286"/>
      <c r="N26" s="285" t="s">
        <v>13</v>
      </c>
      <c r="O26" s="286"/>
      <c r="P26" s="233" t="s">
        <v>314</v>
      </c>
      <c r="Q26" s="233" t="s">
        <v>315</v>
      </c>
      <c r="R26" s="234" t="s">
        <v>316</v>
      </c>
      <c r="S26" s="234" t="s">
        <v>317</v>
      </c>
      <c r="T26" s="234" t="s">
        <v>318</v>
      </c>
      <c r="U26" s="285" t="s">
        <v>117</v>
      </c>
      <c r="V26" s="286"/>
      <c r="W26" s="285" t="s">
        <v>13</v>
      </c>
      <c r="X26" s="286"/>
    </row>
    <row r="27" spans="1:24" ht="25.5" x14ac:dyDescent="0.25">
      <c r="F27" s="312"/>
      <c r="G27" s="314"/>
      <c r="H27" s="205" t="s">
        <v>4</v>
      </c>
      <c r="I27" s="205" t="s">
        <v>5</v>
      </c>
      <c r="J27" s="205" t="s">
        <v>4</v>
      </c>
      <c r="K27" s="205" t="s">
        <v>5</v>
      </c>
      <c r="L27" s="205" t="s">
        <v>4</v>
      </c>
      <c r="M27" s="205" t="s">
        <v>5</v>
      </c>
      <c r="N27" s="205" t="s">
        <v>4</v>
      </c>
      <c r="O27" s="205" t="s">
        <v>5</v>
      </c>
      <c r="P27" s="202"/>
      <c r="Q27" s="202"/>
      <c r="R27" s="202"/>
      <c r="S27" s="202"/>
      <c r="T27" s="202"/>
      <c r="U27" s="205" t="s">
        <v>4</v>
      </c>
      <c r="V27" s="205" t="s">
        <v>5</v>
      </c>
      <c r="W27" s="205" t="s">
        <v>4</v>
      </c>
      <c r="X27" s="205" t="s">
        <v>5</v>
      </c>
    </row>
    <row r="28" spans="1:24" ht="48.6" customHeight="1" x14ac:dyDescent="0.25">
      <c r="F28" s="117">
        <f>'Thiết bị'!K22</f>
        <v>1</v>
      </c>
      <c r="G28" s="210" t="str">
        <f>'Thiết bị'!L22</f>
        <v>Xác định các yếu tố ảnh hưởng đến giá đất của thửa đất/khu đất cần định giá</v>
      </c>
      <c r="H28" s="117">
        <f>'Thiết bị'!M22</f>
        <v>15.22</v>
      </c>
      <c r="I28" s="117">
        <f>'Thiết bị'!N22</f>
        <v>0</v>
      </c>
      <c r="J28" s="117">
        <f>'Thiết bị'!O22</f>
        <v>18.420000000000002</v>
      </c>
      <c r="K28" s="117">
        <f>'Thiết bị'!P22</f>
        <v>0</v>
      </c>
      <c r="L28" s="206">
        <f>H28*$L$21/100</f>
        <v>89948.678000000014</v>
      </c>
      <c r="M28" s="206">
        <f>I28*$M$21/100</f>
        <v>0</v>
      </c>
      <c r="N28" s="207">
        <f>J28*$L$21/100</f>
        <v>108860.35800000001</v>
      </c>
      <c r="O28" s="207">
        <f>K28*$M$21/100</f>
        <v>0</v>
      </c>
      <c r="P28" s="150">
        <f>'Lao đông'!W8</f>
        <v>2.19</v>
      </c>
      <c r="Q28" s="150">
        <f>'Lao đông'!X8</f>
        <v>1</v>
      </c>
      <c r="R28" s="150">
        <f>'Lao đông'!Y8</f>
        <v>1</v>
      </c>
      <c r="S28" s="150">
        <f>'Lao đông'!Z8</f>
        <v>1</v>
      </c>
      <c r="T28" s="150">
        <f>'Lao đông'!AA8</f>
        <v>1</v>
      </c>
      <c r="U28" s="206">
        <f>ROUND(L28*P28*Q28*R28*S28*T28,0)</f>
        <v>196988</v>
      </c>
      <c r="V28" s="206">
        <f>ROUND(M28*P28*Q28*R28*S28*T28,0)</f>
        <v>0</v>
      </c>
      <c r="W28" s="206">
        <f>ROUND(N28*P28*Q28*R28*S28*T28,0)</f>
        <v>238404</v>
      </c>
      <c r="X28" s="206">
        <f>ROUND(O28*P28*Q28*R28*S28*T28,0)</f>
        <v>0</v>
      </c>
    </row>
    <row r="29" spans="1:24" ht="36.75" customHeight="1" x14ac:dyDescent="0.25">
      <c r="F29" s="205">
        <f>'Thiết bị'!K23</f>
        <v>2</v>
      </c>
      <c r="G29" s="210" t="str">
        <f>'Thiết bị'!L23</f>
        <v>Thu thập, tổng hợp, phân tích thông tin</v>
      </c>
      <c r="H29" s="117">
        <f>'Thiết bị'!M23</f>
        <v>26.09</v>
      </c>
      <c r="I29" s="117">
        <f>'Thiết bị'!N23</f>
        <v>100</v>
      </c>
      <c r="J29" s="117">
        <f>'Thiết bị'!O23</f>
        <v>26.32</v>
      </c>
      <c r="K29" s="117">
        <f>'Thiết bị'!P23</f>
        <v>100</v>
      </c>
      <c r="L29" s="206">
        <f>H29*$L$21/100</f>
        <v>154189.291</v>
      </c>
      <c r="M29" s="206">
        <f>I29*$M$21/100</f>
        <v>79450</v>
      </c>
      <c r="N29" s="207">
        <f>J29*$L$21/100</f>
        <v>155548.568</v>
      </c>
      <c r="O29" s="207">
        <f>K29*$M$21/100</f>
        <v>79450</v>
      </c>
      <c r="P29" s="202">
        <f>'Lao đông'!W12</f>
        <v>2.19</v>
      </c>
      <c r="Q29" s="202">
        <f>'Lao đông'!X12</f>
        <v>1</v>
      </c>
      <c r="R29" s="202">
        <f>'Lao đông'!Y12</f>
        <v>1</v>
      </c>
      <c r="S29" s="202">
        <f>'Lao đông'!Z12</f>
        <v>1</v>
      </c>
      <c r="T29" s="202">
        <f>'Lao đông'!AA12</f>
        <v>1</v>
      </c>
      <c r="U29" s="206">
        <f t="shared" ref="U29:U32" si="9">ROUND(L29*P29*Q29*R29*S29*T29,0)</f>
        <v>337675</v>
      </c>
      <c r="V29" s="206">
        <f t="shared" ref="V29:V32" si="10">ROUND(M29*P29*Q29*R29*S29*T29,0)</f>
        <v>173996</v>
      </c>
      <c r="W29" s="206">
        <f t="shared" ref="W29:W32" si="11">ROUND(N29*P29*Q29*R29*S29*T29,0)</f>
        <v>340651</v>
      </c>
      <c r="X29" s="206">
        <f t="shared" ref="X29:X32" si="12">ROUND(O29*P29*Q29*R29*S29*T29,0)</f>
        <v>173996</v>
      </c>
    </row>
    <row r="30" spans="1:24" ht="32.25" customHeight="1" x14ac:dyDescent="0.25">
      <c r="F30" s="205">
        <f>'Thiết bị'!K24</f>
        <v>3</v>
      </c>
      <c r="G30" s="210" t="str">
        <f>'Thiết bị'!L24</f>
        <v>Lựa chọn phương pháp định giá đất</v>
      </c>
      <c r="H30" s="117">
        <f>'Thiết bị'!M24</f>
        <v>26.09</v>
      </c>
      <c r="I30" s="117">
        <f>'Thiết bị'!N24</f>
        <v>0</v>
      </c>
      <c r="J30" s="117">
        <f>'Thiết bị'!O24</f>
        <v>15.79</v>
      </c>
      <c r="K30" s="117">
        <f>'Thiết bị'!P24</f>
        <v>0</v>
      </c>
      <c r="L30" s="206">
        <f t="shared" ref="L30:L32" si="13">H30*$L$21/100</f>
        <v>154189.291</v>
      </c>
      <c r="M30" s="206">
        <f t="shared" ref="M30:M32" si="14">I30*$M$21/100</f>
        <v>0</v>
      </c>
      <c r="N30" s="207">
        <f>J30*$L$21/100</f>
        <v>93317.320999999996</v>
      </c>
      <c r="O30" s="207">
        <f>K30*$M$21/100</f>
        <v>0</v>
      </c>
      <c r="P30" s="202">
        <f>'Lao đông'!W17</f>
        <v>2.19</v>
      </c>
      <c r="Q30" s="202">
        <f>'Lao đông'!X17</f>
        <v>1</v>
      </c>
      <c r="R30" s="202">
        <f>'Lao đông'!Y17</f>
        <v>1</v>
      </c>
      <c r="S30" s="202">
        <f>'Lao đông'!Z17</f>
        <v>1</v>
      </c>
      <c r="T30" s="202">
        <f>'Lao đông'!AA17</f>
        <v>1</v>
      </c>
      <c r="U30" s="206">
        <f t="shared" si="9"/>
        <v>337675</v>
      </c>
      <c r="V30" s="206">
        <f t="shared" si="10"/>
        <v>0</v>
      </c>
      <c r="W30" s="206">
        <f t="shared" si="11"/>
        <v>204365</v>
      </c>
      <c r="X30" s="206">
        <f t="shared" si="12"/>
        <v>0</v>
      </c>
    </row>
    <row r="31" spans="1:24" ht="53.25" customHeight="1" x14ac:dyDescent="0.25">
      <c r="F31" s="205">
        <f>'Thiết bị'!K25</f>
        <v>4</v>
      </c>
      <c r="G31" s="210" t="str">
        <f>'Thiết bị'!L25</f>
        <v>Xây dựng báo cáo thuyết minh xây dựng phương án giá đất, dự thảo chứng thư định giá đất</v>
      </c>
      <c r="H31" s="117">
        <f>'Thiết bị'!M25</f>
        <v>21.74</v>
      </c>
      <c r="I31" s="117">
        <f>'Thiết bị'!N25</f>
        <v>0</v>
      </c>
      <c r="J31" s="117">
        <f>'Thiết bị'!O25</f>
        <v>26.32</v>
      </c>
      <c r="K31" s="117">
        <f>'Thiết bị'!P25</f>
        <v>0</v>
      </c>
      <c r="L31" s="206">
        <f t="shared" si="13"/>
        <v>128481.226</v>
      </c>
      <c r="M31" s="206">
        <f t="shared" si="14"/>
        <v>0</v>
      </c>
      <c r="N31" s="207">
        <f>J31*$L$21/100</f>
        <v>155548.568</v>
      </c>
      <c r="O31" s="207">
        <f>K31*$M$21/100</f>
        <v>0</v>
      </c>
      <c r="P31" s="202">
        <f>'Lao đông'!W20</f>
        <v>1</v>
      </c>
      <c r="Q31" s="202">
        <f>'Lao đông'!X20</f>
        <v>1</v>
      </c>
      <c r="R31" s="202">
        <f>'Lao đông'!Y20</f>
        <v>1</v>
      </c>
      <c r="S31" s="202">
        <f>'Lao đông'!Z20</f>
        <v>1</v>
      </c>
      <c r="T31" s="202">
        <f>'Lao đông'!AA20</f>
        <v>1</v>
      </c>
      <c r="U31" s="206">
        <f t="shared" si="9"/>
        <v>128481</v>
      </c>
      <c r="V31" s="206">
        <f t="shared" si="10"/>
        <v>0</v>
      </c>
      <c r="W31" s="206">
        <f t="shared" si="11"/>
        <v>155549</v>
      </c>
      <c r="X31" s="206">
        <f t="shared" si="12"/>
        <v>0</v>
      </c>
    </row>
    <row r="32" spans="1:24" ht="54" customHeight="1" x14ac:dyDescent="0.25">
      <c r="F32" s="205">
        <f>'Thiết bị'!K26</f>
        <v>5</v>
      </c>
      <c r="G32" s="210" t="str">
        <f>'Thiết bị'!L26</f>
        <v>Hoàn thiện báo cáo thuyết minh xây dựng  phương án giá đất và chứng thư định giá đất</v>
      </c>
      <c r="H32" s="117">
        <f>'Thiết bị'!M26</f>
        <v>10.86</v>
      </c>
      <c r="I32" s="117">
        <f>'Thiết bị'!N26</f>
        <v>0</v>
      </c>
      <c r="J32" s="117">
        <f>'Thiết bị'!O26</f>
        <v>13.15</v>
      </c>
      <c r="K32" s="117">
        <f>'Thiết bị'!P26</f>
        <v>0</v>
      </c>
      <c r="L32" s="206">
        <f t="shared" si="13"/>
        <v>64181.513999999996</v>
      </c>
      <c r="M32" s="206">
        <f t="shared" si="14"/>
        <v>0</v>
      </c>
      <c r="N32" s="207">
        <f>J32*$L$21/100</f>
        <v>77715.184999999998</v>
      </c>
      <c r="O32" s="207">
        <f>K32*$M$21/100</f>
        <v>0</v>
      </c>
      <c r="P32" s="202">
        <f>'Lao đông'!W23</f>
        <v>1</v>
      </c>
      <c r="Q32" s="202">
        <f>'Lao đông'!X23</f>
        <v>1</v>
      </c>
      <c r="R32" s="202">
        <f>'Lao đông'!Y23</f>
        <v>1</v>
      </c>
      <c r="S32" s="202">
        <f>'Lao đông'!Z23</f>
        <v>1</v>
      </c>
      <c r="T32" s="202">
        <f>'Lao đông'!AA23</f>
        <v>1</v>
      </c>
      <c r="U32" s="206">
        <f t="shared" si="9"/>
        <v>64182</v>
      </c>
      <c r="V32" s="206">
        <f t="shared" si="10"/>
        <v>0</v>
      </c>
      <c r="W32" s="206">
        <f t="shared" si="11"/>
        <v>77715</v>
      </c>
      <c r="X32" s="206">
        <f t="shared" si="12"/>
        <v>0</v>
      </c>
    </row>
    <row r="33" spans="6:24" s="208" customFormat="1" ht="48" customHeight="1" x14ac:dyDescent="0.2">
      <c r="F33" s="204">
        <f>'Thiết bị'!K27</f>
        <v>0</v>
      </c>
      <c r="G33" s="204" t="str">
        <f>'Thiết bị'!L27</f>
        <v>Tổng</v>
      </c>
      <c r="H33" s="209">
        <f>SUM(H28:H32)</f>
        <v>100</v>
      </c>
      <c r="I33" s="209">
        <f t="shared" ref="I33:K33" si="15">SUM(I28:I32)</f>
        <v>100</v>
      </c>
      <c r="J33" s="209">
        <f t="shared" si="15"/>
        <v>100</v>
      </c>
      <c r="K33" s="209">
        <f t="shared" si="15"/>
        <v>100</v>
      </c>
      <c r="L33" s="211">
        <f t="shared" ref="L33" si="16">SUM(L28:L32)</f>
        <v>590990</v>
      </c>
      <c r="M33" s="211">
        <f t="shared" ref="M33" si="17">SUM(M28:M32)</f>
        <v>79450</v>
      </c>
      <c r="N33" s="211">
        <f t="shared" ref="N33" si="18">SUM(N28:N32)</f>
        <v>590990</v>
      </c>
      <c r="O33" s="211">
        <f t="shared" ref="O33" si="19">SUM(O28:O32)</f>
        <v>79450</v>
      </c>
      <c r="P33" s="237"/>
      <c r="Q33" s="237"/>
      <c r="R33" s="237"/>
      <c r="S33" s="237"/>
      <c r="T33" s="237"/>
      <c r="U33" s="211">
        <f t="shared" ref="U33:X33" si="20">SUM(U28:U32)</f>
        <v>1065001</v>
      </c>
      <c r="V33" s="211">
        <f t="shared" si="20"/>
        <v>173996</v>
      </c>
      <c r="W33" s="211">
        <f t="shared" si="20"/>
        <v>1016684</v>
      </c>
      <c r="X33" s="211">
        <f t="shared" si="20"/>
        <v>173996</v>
      </c>
    </row>
  </sheetData>
  <mergeCells count="25">
    <mergeCell ref="P25:T25"/>
    <mergeCell ref="U25:X25"/>
    <mergeCell ref="U26:V26"/>
    <mergeCell ref="W26:X26"/>
    <mergeCell ref="A4:A5"/>
    <mergeCell ref="B4:B5"/>
    <mergeCell ref="C4:C5"/>
    <mergeCell ref="D4:E4"/>
    <mergeCell ref="N4:N5"/>
    <mergeCell ref="N26:O26"/>
    <mergeCell ref="F25:F27"/>
    <mergeCell ref="G25:G27"/>
    <mergeCell ref="H25:K25"/>
    <mergeCell ref="L25:O25"/>
    <mergeCell ref="H26:I26"/>
    <mergeCell ref="J26:K26"/>
    <mergeCell ref="L26:M26"/>
    <mergeCell ref="N7:N20"/>
    <mergeCell ref="F2:M2"/>
    <mergeCell ref="F4:F5"/>
    <mergeCell ref="G4:G5"/>
    <mergeCell ref="H4:H5"/>
    <mergeCell ref="I4:I5"/>
    <mergeCell ref="J4:K4"/>
    <mergeCell ref="L4:M4"/>
  </mergeCells>
  <pageMargins left="0.7" right="0.56999999999999995" top="0.75" bottom="0.75" header="0.3" footer="0.3"/>
  <pageSetup paperSize="9" scale="9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AE113-1DB1-4805-B0A8-4701E42345D2}">
  <dimension ref="A1:T20"/>
  <sheetViews>
    <sheetView topLeftCell="A6" zoomScale="80" workbookViewId="0">
      <selection activeCell="P19" sqref="P19"/>
    </sheetView>
  </sheetViews>
  <sheetFormatPr defaultColWidth="9.125" defaultRowHeight="14.25" x14ac:dyDescent="0.2"/>
  <cols>
    <col min="1" max="1" width="6" style="1" customWidth="1"/>
    <col min="2" max="2" width="25.125" style="1" customWidth="1"/>
    <col min="3" max="5" width="8" style="1" customWidth="1"/>
    <col min="6" max="6" width="11.75" style="1" customWidth="1"/>
    <col min="7" max="7" width="9.125" style="1"/>
    <col min="8" max="13" width="9.75" style="1" customWidth="1"/>
    <col min="14" max="14" width="11.125" style="1" customWidth="1"/>
    <col min="15" max="15" width="9.125" style="1"/>
    <col min="16" max="16" width="23.125" style="1" customWidth="1"/>
    <col min="17" max="17" width="9.125" style="1"/>
    <col min="18" max="18" width="11.125" style="1" customWidth="1"/>
    <col min="19" max="19" width="9.125" style="1"/>
    <col min="20" max="20" width="12.625" style="1" customWidth="1"/>
    <col min="21" max="16384" width="9.125" style="1"/>
  </cols>
  <sheetData>
    <row r="1" spans="1:20" x14ac:dyDescent="0.2">
      <c r="A1" s="34"/>
      <c r="B1" s="34"/>
      <c r="C1" s="34"/>
      <c r="D1" s="34"/>
      <c r="E1" s="34"/>
      <c r="F1" s="34"/>
      <c r="G1" s="34"/>
      <c r="H1" s="34"/>
      <c r="I1" s="34"/>
      <c r="J1" s="34"/>
      <c r="K1" s="34"/>
      <c r="L1" s="34"/>
      <c r="M1" s="34"/>
      <c r="N1" s="34"/>
      <c r="O1" s="34"/>
      <c r="P1" s="34"/>
      <c r="Q1" s="34"/>
      <c r="R1" s="34"/>
      <c r="S1" s="34"/>
    </row>
    <row r="2" spans="1:20" ht="25.5" customHeight="1" x14ac:dyDescent="0.2">
      <c r="A2" s="294" t="s">
        <v>248</v>
      </c>
      <c r="B2" s="294"/>
      <c r="C2" s="294"/>
      <c r="D2" s="294"/>
      <c r="E2" s="294"/>
      <c r="F2" s="294"/>
      <c r="G2" s="294"/>
      <c r="H2" s="294"/>
      <c r="I2" s="294"/>
      <c r="J2" s="294"/>
      <c r="K2" s="294"/>
      <c r="L2" s="294"/>
      <c r="M2" s="294"/>
      <c r="N2" s="294"/>
      <c r="O2" s="294"/>
      <c r="P2" s="59"/>
      <c r="Q2" s="59"/>
      <c r="R2" s="59"/>
      <c r="S2" s="59"/>
    </row>
    <row r="3" spans="1:20" x14ac:dyDescent="0.2">
      <c r="A3" s="34"/>
      <c r="B3" s="34"/>
      <c r="C3" s="34"/>
      <c r="D3" s="34"/>
      <c r="E3" s="34"/>
      <c r="F3" s="34"/>
      <c r="G3" s="34"/>
      <c r="H3" s="34"/>
      <c r="I3" s="34"/>
      <c r="J3" s="34"/>
      <c r="K3" s="34"/>
      <c r="L3" s="34"/>
      <c r="M3" s="34"/>
      <c r="N3" s="34"/>
      <c r="O3" s="34"/>
      <c r="P3" s="34"/>
      <c r="Q3" s="34"/>
      <c r="R3" s="34"/>
      <c r="S3" s="34"/>
    </row>
    <row r="4" spans="1:20" ht="33" customHeight="1" x14ac:dyDescent="0.2">
      <c r="A4" s="274" t="s">
        <v>0</v>
      </c>
      <c r="B4" s="274" t="s">
        <v>65</v>
      </c>
      <c r="C4" s="274" t="s">
        <v>32</v>
      </c>
      <c r="D4" s="274" t="s">
        <v>113</v>
      </c>
      <c r="E4" s="274" t="s">
        <v>114</v>
      </c>
      <c r="F4" s="274" t="s">
        <v>66</v>
      </c>
      <c r="G4" s="299"/>
      <c r="H4" s="259" t="s">
        <v>245</v>
      </c>
      <c r="I4" s="259"/>
      <c r="J4" s="259"/>
      <c r="K4" s="259"/>
      <c r="L4" s="259" t="s">
        <v>246</v>
      </c>
      <c r="M4" s="259"/>
      <c r="N4" s="259"/>
      <c r="O4" s="259"/>
      <c r="P4" s="259" t="s">
        <v>213</v>
      </c>
      <c r="Q4" s="57"/>
      <c r="R4" s="57"/>
      <c r="S4" s="57"/>
    </row>
    <row r="5" spans="1:20" ht="33" customHeight="1" x14ac:dyDescent="0.2">
      <c r="A5" s="275"/>
      <c r="B5" s="275"/>
      <c r="C5" s="275"/>
      <c r="D5" s="275"/>
      <c r="E5" s="275"/>
      <c r="F5" s="275"/>
      <c r="G5" s="300"/>
      <c r="H5" s="253" t="s">
        <v>118</v>
      </c>
      <c r="I5" s="253"/>
      <c r="J5" s="253" t="s">
        <v>13</v>
      </c>
      <c r="K5" s="253"/>
      <c r="L5" s="253" t="s">
        <v>118</v>
      </c>
      <c r="M5" s="253"/>
      <c r="N5" s="253" t="s">
        <v>13</v>
      </c>
      <c r="O5" s="253"/>
      <c r="P5" s="259"/>
    </row>
    <row r="6" spans="1:20" ht="25.5" x14ac:dyDescent="0.2">
      <c r="A6" s="276"/>
      <c r="B6" s="276"/>
      <c r="C6" s="276"/>
      <c r="D6" s="276"/>
      <c r="E6" s="276"/>
      <c r="F6" s="276"/>
      <c r="G6" s="301"/>
      <c r="H6" s="48" t="s">
        <v>105</v>
      </c>
      <c r="I6" s="48" t="s">
        <v>5</v>
      </c>
      <c r="J6" s="48" t="s">
        <v>4</v>
      </c>
      <c r="K6" s="48" t="s">
        <v>5</v>
      </c>
      <c r="L6" s="28" t="s">
        <v>105</v>
      </c>
      <c r="M6" s="28" t="s">
        <v>5</v>
      </c>
      <c r="N6" s="28" t="s">
        <v>4</v>
      </c>
      <c r="O6" s="28" t="s">
        <v>5</v>
      </c>
      <c r="P6" s="259"/>
    </row>
    <row r="7" spans="1:20" s="158" customFormat="1" ht="30" x14ac:dyDescent="0.2">
      <c r="A7" s="151"/>
      <c r="B7" s="120" t="s">
        <v>42</v>
      </c>
      <c r="C7" s="119" t="s">
        <v>43</v>
      </c>
      <c r="D7" s="119"/>
      <c r="E7" s="152"/>
      <c r="F7" s="153">
        <v>3000</v>
      </c>
      <c r="G7" s="154"/>
      <c r="H7" s="123">
        <f>SUM('Dụng cụ'!Z7:Z28)+SUM('Thiết bị'!AA7:AA16)</f>
        <v>539.75</v>
      </c>
      <c r="I7" s="123"/>
      <c r="J7" s="123">
        <f>SUM('Dụng cụ'!AA7:AA28)+SUM('Thiết bị'!AB7:AB14)</f>
        <v>437.38</v>
      </c>
      <c r="K7" s="123"/>
      <c r="L7" s="155">
        <f>H7*F7</f>
        <v>1619250</v>
      </c>
      <c r="M7" s="123"/>
      <c r="N7" s="121">
        <f>F7*J7</f>
        <v>1312140</v>
      </c>
      <c r="O7" s="123"/>
      <c r="P7" s="156" t="s">
        <v>247</v>
      </c>
      <c r="Q7" s="157"/>
      <c r="R7" s="157"/>
    </row>
    <row r="8" spans="1:20" s="16" customFormat="1" ht="15.75" x14ac:dyDescent="0.2">
      <c r="A8" s="53"/>
      <c r="B8" s="53" t="s">
        <v>29</v>
      </c>
      <c r="C8" s="54"/>
      <c r="D8" s="54"/>
      <c r="E8" s="54"/>
      <c r="F8" s="54"/>
      <c r="G8" s="54"/>
      <c r="H8" s="40"/>
      <c r="I8" s="55"/>
      <c r="J8" s="55"/>
      <c r="K8" s="55"/>
      <c r="L8" s="56">
        <f>L7</f>
        <v>1619250</v>
      </c>
      <c r="M8" s="56">
        <f t="shared" ref="M8:O8" si="0">M7</f>
        <v>0</v>
      </c>
      <c r="N8" s="56">
        <f t="shared" si="0"/>
        <v>1312140</v>
      </c>
      <c r="O8" s="56">
        <f t="shared" si="0"/>
        <v>0</v>
      </c>
      <c r="P8" s="139"/>
      <c r="Q8" s="137"/>
      <c r="R8" s="137"/>
    </row>
    <row r="9" spans="1:20" ht="15.75" x14ac:dyDescent="0.2">
      <c r="A9" s="34"/>
      <c r="B9" s="34"/>
      <c r="C9" s="34"/>
      <c r="D9" s="34"/>
      <c r="E9" s="34"/>
      <c r="F9" s="34"/>
      <c r="G9" s="34"/>
      <c r="H9" s="34"/>
      <c r="I9" s="34"/>
      <c r="J9" s="34"/>
      <c r="K9" s="34"/>
      <c r="L9" s="34"/>
      <c r="M9" s="34"/>
      <c r="N9" s="34"/>
      <c r="O9" s="34"/>
      <c r="P9" s="34"/>
      <c r="Q9" s="137"/>
      <c r="R9" s="137"/>
      <c r="S9" s="34"/>
      <c r="T9" s="47"/>
    </row>
    <row r="10" spans="1:20" x14ac:dyDescent="0.2">
      <c r="A10" s="34"/>
      <c r="B10" s="34"/>
      <c r="C10" s="34"/>
      <c r="D10" s="34"/>
      <c r="E10" s="34"/>
      <c r="F10" s="34"/>
      <c r="G10" s="34"/>
      <c r="H10" s="34"/>
      <c r="I10" s="34"/>
      <c r="J10" s="34"/>
      <c r="K10" s="34"/>
      <c r="L10" s="34"/>
      <c r="M10" s="34"/>
      <c r="N10" s="34"/>
      <c r="O10" s="34"/>
      <c r="P10" s="34"/>
      <c r="Q10" s="34"/>
      <c r="R10" s="34"/>
      <c r="S10" s="34"/>
    </row>
    <row r="11" spans="1:20" ht="15.75" customHeight="1" x14ac:dyDescent="0.25">
      <c r="A11" s="268" t="s">
        <v>0</v>
      </c>
      <c r="B11" s="297" t="s">
        <v>1</v>
      </c>
      <c r="C11" s="259" t="s">
        <v>103</v>
      </c>
      <c r="D11" s="259"/>
      <c r="E11" s="259"/>
      <c r="F11" s="259"/>
      <c r="G11" s="259" t="s">
        <v>28</v>
      </c>
      <c r="H11" s="259"/>
      <c r="I11" s="259"/>
      <c r="J11" s="259"/>
      <c r="K11" s="287" t="s">
        <v>313</v>
      </c>
      <c r="L11" s="287"/>
      <c r="M11" s="287"/>
      <c r="N11" s="287"/>
      <c r="O11" s="287"/>
      <c r="P11" s="288" t="s">
        <v>28</v>
      </c>
      <c r="Q11" s="288"/>
      <c r="R11" s="288"/>
      <c r="S11" s="288"/>
    </row>
    <row r="12" spans="1:20" ht="24" customHeight="1" x14ac:dyDescent="0.2">
      <c r="A12" s="268"/>
      <c r="B12" s="298"/>
      <c r="C12" s="295" t="s">
        <v>118</v>
      </c>
      <c r="D12" s="296"/>
      <c r="E12" s="295" t="s">
        <v>13</v>
      </c>
      <c r="F12" s="296"/>
      <c r="G12" s="295" t="s">
        <v>117</v>
      </c>
      <c r="H12" s="296"/>
      <c r="I12" s="295" t="s">
        <v>13</v>
      </c>
      <c r="J12" s="296"/>
      <c r="K12" s="233" t="s">
        <v>314</v>
      </c>
      <c r="L12" s="233" t="s">
        <v>315</v>
      </c>
      <c r="M12" s="234" t="s">
        <v>316</v>
      </c>
      <c r="N12" s="234" t="s">
        <v>317</v>
      </c>
      <c r="O12" s="234" t="s">
        <v>318</v>
      </c>
      <c r="P12" s="285" t="s">
        <v>117</v>
      </c>
      <c r="Q12" s="286"/>
      <c r="R12" s="285" t="s">
        <v>13</v>
      </c>
      <c r="S12" s="286"/>
    </row>
    <row r="13" spans="1:20" ht="25.5" x14ac:dyDescent="0.25">
      <c r="A13" s="268"/>
      <c r="B13" s="298"/>
      <c r="C13" s="28" t="s">
        <v>4</v>
      </c>
      <c r="D13" s="28" t="s">
        <v>5</v>
      </c>
      <c r="E13" s="28" t="s">
        <v>4</v>
      </c>
      <c r="F13" s="28" t="s">
        <v>5</v>
      </c>
      <c r="G13" s="28" t="s">
        <v>4</v>
      </c>
      <c r="H13" s="28" t="s">
        <v>5</v>
      </c>
      <c r="I13" s="28" t="s">
        <v>4</v>
      </c>
      <c r="J13" s="28" t="s">
        <v>5</v>
      </c>
      <c r="K13" s="202"/>
      <c r="L13" s="202"/>
      <c r="M13" s="202"/>
      <c r="N13" s="202"/>
      <c r="O13" s="202"/>
      <c r="P13" s="205" t="s">
        <v>4</v>
      </c>
      <c r="Q13" s="205" t="s">
        <v>5</v>
      </c>
      <c r="R13" s="205" t="s">
        <v>4</v>
      </c>
      <c r="S13" s="205" t="s">
        <v>5</v>
      </c>
    </row>
    <row r="14" spans="1:20" ht="60" customHeight="1" x14ac:dyDescent="0.2">
      <c r="A14" s="28">
        <f>'Vật liệu'!F28</f>
        <v>1</v>
      </c>
      <c r="B14" s="28" t="str">
        <f>'Vật liệu'!G28</f>
        <v>Xác định các yếu tố ảnh hưởng đến giá đất của thửa đất/khu đất cần định giá</v>
      </c>
      <c r="C14" s="28">
        <f>'Vật liệu'!H28</f>
        <v>15.22</v>
      </c>
      <c r="D14" s="28">
        <f>'Vật liệu'!I28</f>
        <v>0</v>
      </c>
      <c r="E14" s="28">
        <f>'Vật liệu'!J28</f>
        <v>18.420000000000002</v>
      </c>
      <c r="F14" s="28">
        <f>'Vật liệu'!K28</f>
        <v>0</v>
      </c>
      <c r="G14" s="29">
        <f>C14*$L$8/100</f>
        <v>246449.85</v>
      </c>
      <c r="H14" s="29">
        <f>D14*$M$8/100</f>
        <v>0</v>
      </c>
      <c r="I14" s="29">
        <f>E14*$N$8/100</f>
        <v>241696.18799999999</v>
      </c>
      <c r="J14" s="29">
        <f>F14*$O$8/100</f>
        <v>0</v>
      </c>
      <c r="K14" s="150">
        <f>'Lao đông'!W8</f>
        <v>2.19</v>
      </c>
      <c r="L14" s="150">
        <f>'Lao đông'!X8</f>
        <v>1</v>
      </c>
      <c r="M14" s="150">
        <f>'Lao đông'!Y8</f>
        <v>1</v>
      </c>
      <c r="N14" s="150">
        <f>'Lao đông'!Z8</f>
        <v>1</v>
      </c>
      <c r="O14" s="150">
        <f>'Lao đông'!AA8</f>
        <v>1</v>
      </c>
      <c r="P14" s="206">
        <f>ROUND(G14*K14*L14*M14*N14*O14,0)</f>
        <v>539725</v>
      </c>
      <c r="Q14" s="206">
        <f>ROUND(H14*K14*L14*M14*N14*O14,0)</f>
        <v>0</v>
      </c>
      <c r="R14" s="206">
        <f>ROUND(I14*K14*L14*M14*N14*O14,0)</f>
        <v>529315</v>
      </c>
      <c r="S14" s="206">
        <f>ROUND(J14*K14*L14*M14*N14*O14,0)</f>
        <v>0</v>
      </c>
    </row>
    <row r="15" spans="1:20" ht="60" customHeight="1" x14ac:dyDescent="0.2">
      <c r="A15" s="28">
        <f>'Vật liệu'!F29</f>
        <v>2</v>
      </c>
      <c r="B15" s="28" t="str">
        <f>'Vật liệu'!G29</f>
        <v>Thu thập, tổng hợp, phân tích thông tin</v>
      </c>
      <c r="C15" s="28">
        <f>'Vật liệu'!H29</f>
        <v>26.09</v>
      </c>
      <c r="D15" s="28">
        <f>'Vật liệu'!I29</f>
        <v>100</v>
      </c>
      <c r="E15" s="28">
        <f>'Vật liệu'!J29</f>
        <v>26.32</v>
      </c>
      <c r="F15" s="28">
        <f>'Vật liệu'!K29</f>
        <v>100</v>
      </c>
      <c r="G15" s="29">
        <f t="shared" ref="G15:G17" si="1">C15*$L$8/100</f>
        <v>422462.32500000001</v>
      </c>
      <c r="H15" s="29">
        <f t="shared" ref="H15:H17" si="2">D15*$M$8/100</f>
        <v>0</v>
      </c>
      <c r="I15" s="29">
        <f t="shared" ref="I15:I17" si="3">E15*$N$8/100</f>
        <v>345355.24799999996</v>
      </c>
      <c r="J15" s="29">
        <f t="shared" ref="J15:J17" si="4">F15*$O$8/100</f>
        <v>0</v>
      </c>
      <c r="K15" s="150">
        <f>'Lao đông'!W12</f>
        <v>2.19</v>
      </c>
      <c r="L15" s="150">
        <f>'Lao đông'!X12</f>
        <v>1</v>
      </c>
      <c r="M15" s="150">
        <f>'Lao đông'!Y12</f>
        <v>1</v>
      </c>
      <c r="N15" s="150">
        <f>'Lao đông'!Z12</f>
        <v>1</v>
      </c>
      <c r="O15" s="150">
        <f>'Lao đông'!AA12</f>
        <v>1</v>
      </c>
      <c r="P15" s="206">
        <f t="shared" ref="P15:P18" si="5">ROUND(G15*K15*L15*M15*N15*O15,0)</f>
        <v>925192</v>
      </c>
      <c r="Q15" s="206">
        <f t="shared" ref="Q15:Q18" si="6">ROUND(H15*K15*L15*M15*N15*O15,0)</f>
        <v>0</v>
      </c>
      <c r="R15" s="206">
        <f t="shared" ref="R15:R18" si="7">ROUND(I15*K15*L15*M15*N15*O15,0)</f>
        <v>756328</v>
      </c>
      <c r="S15" s="206">
        <f t="shared" ref="S15:S18" si="8">ROUND(J15*K15*L15*M15*N15*O15,0)</f>
        <v>0</v>
      </c>
    </row>
    <row r="16" spans="1:20" ht="60" customHeight="1" x14ac:dyDescent="0.2">
      <c r="A16" s="28">
        <f>'Vật liệu'!F30</f>
        <v>3</v>
      </c>
      <c r="B16" s="28" t="str">
        <f>'Vật liệu'!G30</f>
        <v>Lựa chọn phương pháp định giá đất</v>
      </c>
      <c r="C16" s="28">
        <f>'Vật liệu'!H30</f>
        <v>26.09</v>
      </c>
      <c r="D16" s="28">
        <f>'Vật liệu'!I30</f>
        <v>0</v>
      </c>
      <c r="E16" s="28">
        <f>'Vật liệu'!J30</f>
        <v>15.79</v>
      </c>
      <c r="F16" s="28">
        <f>'Vật liệu'!K30</f>
        <v>0</v>
      </c>
      <c r="G16" s="29">
        <f t="shared" si="1"/>
        <v>422462.32500000001</v>
      </c>
      <c r="H16" s="29">
        <f t="shared" si="2"/>
        <v>0</v>
      </c>
      <c r="I16" s="29">
        <f t="shared" si="3"/>
        <v>207186.90599999999</v>
      </c>
      <c r="J16" s="29">
        <f t="shared" si="4"/>
        <v>0</v>
      </c>
      <c r="K16" s="150">
        <f>'Lao đông'!W17</f>
        <v>2.19</v>
      </c>
      <c r="L16" s="150">
        <f>'Lao đông'!X17</f>
        <v>1</v>
      </c>
      <c r="M16" s="150">
        <f>'Lao đông'!Y17</f>
        <v>1</v>
      </c>
      <c r="N16" s="150">
        <f>'Lao đông'!Z17</f>
        <v>1</v>
      </c>
      <c r="O16" s="150">
        <f>'Lao đông'!AA17</f>
        <v>1</v>
      </c>
      <c r="P16" s="206">
        <f t="shared" si="5"/>
        <v>925192</v>
      </c>
      <c r="Q16" s="206">
        <f t="shared" si="6"/>
        <v>0</v>
      </c>
      <c r="R16" s="206">
        <f t="shared" si="7"/>
        <v>453739</v>
      </c>
      <c r="S16" s="206">
        <f t="shared" si="8"/>
        <v>0</v>
      </c>
    </row>
    <row r="17" spans="1:19" ht="60" customHeight="1" x14ac:dyDescent="0.2">
      <c r="A17" s="28">
        <f>'Vật liệu'!F31</f>
        <v>4</v>
      </c>
      <c r="B17" s="28" t="str">
        <f>'Vật liệu'!G31</f>
        <v>Xây dựng báo cáo thuyết minh xây dựng phương án giá đất, dự thảo chứng thư định giá đất</v>
      </c>
      <c r="C17" s="28">
        <f>'Vật liệu'!H31</f>
        <v>21.74</v>
      </c>
      <c r="D17" s="28">
        <f>'Vật liệu'!I31</f>
        <v>0</v>
      </c>
      <c r="E17" s="28">
        <f>'Vật liệu'!J31</f>
        <v>26.32</v>
      </c>
      <c r="F17" s="28">
        <f>'Vật liệu'!K31</f>
        <v>0</v>
      </c>
      <c r="G17" s="29">
        <f t="shared" si="1"/>
        <v>352024.95</v>
      </c>
      <c r="H17" s="29">
        <f t="shared" si="2"/>
        <v>0</v>
      </c>
      <c r="I17" s="29">
        <f t="shared" si="3"/>
        <v>345355.24799999996</v>
      </c>
      <c r="J17" s="29">
        <f t="shared" si="4"/>
        <v>0</v>
      </c>
      <c r="K17" s="150">
        <f>'Lao đông'!W20</f>
        <v>1</v>
      </c>
      <c r="L17" s="150">
        <f>'Lao đông'!X20</f>
        <v>1</v>
      </c>
      <c r="M17" s="150">
        <f>'Lao đông'!Y20</f>
        <v>1</v>
      </c>
      <c r="N17" s="150">
        <f>'Lao đông'!Z20</f>
        <v>1</v>
      </c>
      <c r="O17" s="150">
        <f>'Lao đông'!AA20</f>
        <v>1</v>
      </c>
      <c r="P17" s="206">
        <f t="shared" si="5"/>
        <v>352025</v>
      </c>
      <c r="Q17" s="206">
        <f t="shared" si="6"/>
        <v>0</v>
      </c>
      <c r="R17" s="206">
        <f t="shared" si="7"/>
        <v>345355</v>
      </c>
      <c r="S17" s="206">
        <f t="shared" si="8"/>
        <v>0</v>
      </c>
    </row>
    <row r="18" spans="1:19" ht="60" customHeight="1" x14ac:dyDescent="0.2">
      <c r="A18" s="28">
        <f>'Vật liệu'!F32</f>
        <v>5</v>
      </c>
      <c r="B18" s="28" t="str">
        <f>'Vật liệu'!G32</f>
        <v>Hoàn thiện báo cáo thuyết minh xây dựng  phương án giá đất và chứng thư định giá đất</v>
      </c>
      <c r="C18" s="28">
        <f>'Vật liệu'!H32</f>
        <v>10.86</v>
      </c>
      <c r="D18" s="28">
        <f>'Vật liệu'!I32</f>
        <v>0</v>
      </c>
      <c r="E18" s="28">
        <f>'Vật liệu'!J32</f>
        <v>13.15</v>
      </c>
      <c r="F18" s="28">
        <f>'Vật liệu'!K32</f>
        <v>0</v>
      </c>
      <c r="G18" s="29">
        <f t="shared" ref="G18" si="9">C18*$L$8/100</f>
        <v>175850.55</v>
      </c>
      <c r="H18" s="29">
        <f t="shared" ref="H18" si="10">D18*$M$8/100</f>
        <v>0</v>
      </c>
      <c r="I18" s="29">
        <f t="shared" ref="I18" si="11">E18*$N$8/100</f>
        <v>172546.41</v>
      </c>
      <c r="J18" s="29">
        <f t="shared" ref="J18" si="12">F18*$O$8/100</f>
        <v>0</v>
      </c>
      <c r="K18" s="150">
        <f>'Lao đông'!W23</f>
        <v>1</v>
      </c>
      <c r="L18" s="150">
        <f>'Lao đông'!X23</f>
        <v>1</v>
      </c>
      <c r="M18" s="150">
        <f>'Lao đông'!Y23</f>
        <v>1</v>
      </c>
      <c r="N18" s="150">
        <f>'Lao đông'!Z23</f>
        <v>1</v>
      </c>
      <c r="O18" s="150">
        <f>'Lao đông'!AA23</f>
        <v>1</v>
      </c>
      <c r="P18" s="206">
        <f t="shared" si="5"/>
        <v>175851</v>
      </c>
      <c r="Q18" s="206">
        <f t="shared" si="6"/>
        <v>0</v>
      </c>
      <c r="R18" s="206">
        <f t="shared" si="7"/>
        <v>172546</v>
      </c>
      <c r="S18" s="206">
        <f t="shared" si="8"/>
        <v>0</v>
      </c>
    </row>
    <row r="19" spans="1:19" ht="21.75" customHeight="1" x14ac:dyDescent="0.2">
      <c r="A19" s="30"/>
      <c r="B19" s="30" t="s">
        <v>29</v>
      </c>
      <c r="C19" s="41">
        <f>SUM(C14:C18)</f>
        <v>100</v>
      </c>
      <c r="D19" s="41">
        <f t="shared" ref="D19:J19" si="13">SUM(D14:D18)</f>
        <v>100</v>
      </c>
      <c r="E19" s="41">
        <f t="shared" si="13"/>
        <v>100</v>
      </c>
      <c r="F19" s="41">
        <f t="shared" si="13"/>
        <v>100</v>
      </c>
      <c r="G19" s="41">
        <f t="shared" si="13"/>
        <v>1619250</v>
      </c>
      <c r="H19" s="41">
        <f t="shared" si="13"/>
        <v>0</v>
      </c>
      <c r="I19" s="41">
        <f t="shared" si="13"/>
        <v>1312139.9999999998</v>
      </c>
      <c r="J19" s="41">
        <f t="shared" si="13"/>
        <v>0</v>
      </c>
      <c r="K19" s="150">
        <f>'Lao đông'!M2</f>
        <v>0</v>
      </c>
      <c r="L19" s="150">
        <f>'Lao đông'!N2</f>
        <v>0</v>
      </c>
      <c r="M19" s="150">
        <f>'Lao đông'!O2</f>
        <v>0</v>
      </c>
      <c r="N19" s="150">
        <f>'Lao đông'!P2</f>
        <v>0</v>
      </c>
      <c r="O19" s="150">
        <f>'Lao đông'!Q2</f>
        <v>0</v>
      </c>
      <c r="P19" s="41">
        <f t="shared" ref="P19:S19" si="14">SUM(P14:P18)</f>
        <v>2917985</v>
      </c>
      <c r="Q19" s="41">
        <f t="shared" si="14"/>
        <v>0</v>
      </c>
      <c r="R19" s="41">
        <f t="shared" si="14"/>
        <v>2257283</v>
      </c>
      <c r="S19" s="41">
        <f t="shared" si="14"/>
        <v>0</v>
      </c>
    </row>
    <row r="20" spans="1:19" x14ac:dyDescent="0.2">
      <c r="K20" s="237"/>
      <c r="L20" s="237"/>
      <c r="M20" s="237"/>
      <c r="N20" s="237"/>
      <c r="O20" s="237"/>
      <c r="P20" s="211"/>
      <c r="Q20" s="211"/>
      <c r="R20" s="211"/>
      <c r="S20" s="211"/>
    </row>
  </sheetData>
  <mergeCells count="27">
    <mergeCell ref="K11:O11"/>
    <mergeCell ref="P11:S11"/>
    <mergeCell ref="P12:Q12"/>
    <mergeCell ref="R12:S12"/>
    <mergeCell ref="A2:O2"/>
    <mergeCell ref="A4:A6"/>
    <mergeCell ref="B4:B6"/>
    <mergeCell ref="C4:C6"/>
    <mergeCell ref="D4:D6"/>
    <mergeCell ref="E4:E6"/>
    <mergeCell ref="F4:F6"/>
    <mergeCell ref="G4:G6"/>
    <mergeCell ref="H4:K4"/>
    <mergeCell ref="L4:O4"/>
    <mergeCell ref="A11:A13"/>
    <mergeCell ref="B11:B13"/>
    <mergeCell ref="C11:F11"/>
    <mergeCell ref="G11:J11"/>
    <mergeCell ref="C12:D12"/>
    <mergeCell ref="E12:F12"/>
    <mergeCell ref="G12:H12"/>
    <mergeCell ref="I12:J12"/>
    <mergeCell ref="P4:P6"/>
    <mergeCell ref="H5:I5"/>
    <mergeCell ref="J5:K5"/>
    <mergeCell ref="L5:M5"/>
    <mergeCell ref="N5:O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3"/>
  <sheetViews>
    <sheetView zoomScaleNormal="100" workbookViewId="0">
      <selection activeCell="D2" sqref="D2"/>
    </sheetView>
  </sheetViews>
  <sheetFormatPr defaultColWidth="11" defaultRowHeight="12.75" x14ac:dyDescent="0.2"/>
  <cols>
    <col min="1" max="1" width="4.25" style="67" bestFit="1" customWidth="1"/>
    <col min="2" max="2" width="29.75" style="67" bestFit="1" customWidth="1"/>
    <col min="3" max="3" width="42.75" style="67" bestFit="1" customWidth="1"/>
    <col min="4" max="4" width="8.875" style="67" bestFit="1" customWidth="1"/>
    <col min="5" max="5" width="11.25" style="67" bestFit="1" customWidth="1"/>
    <col min="6" max="6" width="11" style="67" customWidth="1"/>
    <col min="7" max="7" width="13.875" style="67" bestFit="1" customWidth="1"/>
    <col min="8" max="8" width="26.75" style="67" bestFit="1" customWidth="1"/>
    <col min="9" max="9" width="20.625" style="67" bestFit="1" customWidth="1"/>
    <col min="10" max="10" width="17" style="67" bestFit="1" customWidth="1"/>
    <col min="11" max="16384" width="11" style="67"/>
  </cols>
  <sheetData>
    <row r="1" spans="1:12" ht="15.75" customHeight="1" x14ac:dyDescent="0.2">
      <c r="A1" s="315" t="s">
        <v>146</v>
      </c>
      <c r="B1" s="316"/>
      <c r="C1" s="316"/>
      <c r="D1" s="316"/>
      <c r="E1" s="316"/>
      <c r="F1" s="316"/>
      <c r="G1" s="316"/>
      <c r="H1" s="316"/>
      <c r="I1" s="316"/>
      <c r="J1" s="316"/>
      <c r="K1" s="66"/>
      <c r="L1" s="66"/>
    </row>
    <row r="2" spans="1:12" ht="15.75" customHeight="1" x14ac:dyDescent="0.2">
      <c r="A2" s="317" t="s">
        <v>147</v>
      </c>
      <c r="B2" s="318"/>
      <c r="C2" s="318"/>
      <c r="D2" s="147">
        <v>2530000</v>
      </c>
      <c r="E2" s="69"/>
      <c r="F2" s="70"/>
      <c r="G2" s="70"/>
      <c r="H2" s="66"/>
      <c r="I2" s="66"/>
      <c r="J2" s="66"/>
      <c r="K2" s="66"/>
      <c r="L2" s="66"/>
    </row>
    <row r="3" spans="1:12" ht="15.75" customHeight="1" x14ac:dyDescent="0.2">
      <c r="A3" s="71" t="s">
        <v>0</v>
      </c>
      <c r="B3" s="71" t="s">
        <v>148</v>
      </c>
      <c r="C3" s="71" t="s">
        <v>139</v>
      </c>
      <c r="D3" s="71" t="s">
        <v>149</v>
      </c>
      <c r="E3" s="72" t="s">
        <v>150</v>
      </c>
      <c r="F3" s="72" t="s">
        <v>151</v>
      </c>
      <c r="G3" s="71" t="s">
        <v>152</v>
      </c>
      <c r="H3" s="71" t="s">
        <v>153</v>
      </c>
      <c r="I3" s="71" t="s">
        <v>154</v>
      </c>
      <c r="J3" s="72" t="s">
        <v>155</v>
      </c>
      <c r="K3" s="66"/>
    </row>
    <row r="4" spans="1:12" ht="15.75" customHeight="1" x14ac:dyDescent="0.2">
      <c r="A4" s="73">
        <v>1</v>
      </c>
      <c r="B4" s="73">
        <v>2</v>
      </c>
      <c r="C4" s="73">
        <v>3</v>
      </c>
      <c r="D4" s="73">
        <v>4</v>
      </c>
      <c r="E4" s="74" t="s">
        <v>156</v>
      </c>
      <c r="F4" s="73">
        <v>7</v>
      </c>
      <c r="G4" s="75" t="s">
        <v>157</v>
      </c>
      <c r="H4" s="75" t="s">
        <v>158</v>
      </c>
      <c r="I4" s="73">
        <v>10</v>
      </c>
      <c r="J4" s="73">
        <v>11</v>
      </c>
      <c r="K4" s="66"/>
    </row>
    <row r="5" spans="1:12" ht="15.75" customHeight="1" x14ac:dyDescent="0.2">
      <c r="A5" s="76" t="s">
        <v>25</v>
      </c>
      <c r="B5" s="77" t="s">
        <v>4</v>
      </c>
      <c r="C5" s="77" t="s">
        <v>4</v>
      </c>
      <c r="D5" s="78"/>
      <c r="E5" s="79"/>
      <c r="F5" s="79"/>
      <c r="G5" s="78"/>
      <c r="H5" s="78"/>
      <c r="I5" s="78"/>
      <c r="J5" s="79"/>
      <c r="K5" s="66"/>
    </row>
    <row r="6" spans="1:12" ht="15.75" customHeight="1" x14ac:dyDescent="0.2">
      <c r="A6" s="75">
        <v>1</v>
      </c>
      <c r="B6" s="80" t="s">
        <v>140</v>
      </c>
      <c r="C6" s="78" t="s">
        <v>159</v>
      </c>
      <c r="D6" s="78">
        <v>2.34</v>
      </c>
      <c r="E6" s="79">
        <f t="shared" ref="E6:E19" si="0">D6*$D$2</f>
        <v>5920200</v>
      </c>
      <c r="F6" s="79"/>
      <c r="G6" s="78"/>
      <c r="H6" s="79">
        <f t="shared" ref="H6:H19" si="1">0.235*E6</f>
        <v>1391247</v>
      </c>
      <c r="I6" s="79">
        <f>E6+H6</f>
        <v>7311447</v>
      </c>
      <c r="J6" s="79">
        <f t="shared" ref="J6:J19" si="2">I6/26</f>
        <v>281209.5</v>
      </c>
      <c r="K6" s="66"/>
    </row>
    <row r="7" spans="1:12" ht="15.75" customHeight="1" x14ac:dyDescent="0.2">
      <c r="A7" s="75">
        <v>2</v>
      </c>
      <c r="B7" s="80" t="s">
        <v>141</v>
      </c>
      <c r="C7" s="78" t="s">
        <v>160</v>
      </c>
      <c r="D7" s="78">
        <v>2.67</v>
      </c>
      <c r="E7" s="79">
        <f t="shared" si="0"/>
        <v>6755100</v>
      </c>
      <c r="F7" s="79"/>
      <c r="G7" s="78"/>
      <c r="H7" s="79">
        <f t="shared" si="1"/>
        <v>1587448.5</v>
      </c>
      <c r="I7" s="79">
        <f>E7+H7</f>
        <v>8342548.5</v>
      </c>
      <c r="J7" s="79">
        <f t="shared" si="2"/>
        <v>320867.25</v>
      </c>
      <c r="K7" s="66"/>
    </row>
    <row r="8" spans="1:12" ht="15.75" customHeight="1" x14ac:dyDescent="0.2">
      <c r="A8" s="75">
        <v>3</v>
      </c>
      <c r="B8" s="80" t="s">
        <v>142</v>
      </c>
      <c r="C8" s="78" t="s">
        <v>161</v>
      </c>
      <c r="D8" s="78">
        <v>3</v>
      </c>
      <c r="E8" s="79">
        <f t="shared" si="0"/>
        <v>7590000</v>
      </c>
      <c r="F8" s="79"/>
      <c r="G8" s="78"/>
      <c r="H8" s="79">
        <f t="shared" si="1"/>
        <v>1783650</v>
      </c>
      <c r="I8" s="79">
        <f>E8+H8</f>
        <v>9373650</v>
      </c>
      <c r="J8" s="79">
        <f t="shared" si="2"/>
        <v>360525</v>
      </c>
      <c r="K8" s="66"/>
    </row>
    <row r="9" spans="1:12" ht="15.75" customHeight="1" x14ac:dyDescent="0.2">
      <c r="A9" s="75">
        <v>4</v>
      </c>
      <c r="B9" s="80" t="s">
        <v>141</v>
      </c>
      <c r="C9" s="78" t="s">
        <v>162</v>
      </c>
      <c r="D9" s="78">
        <v>2.67</v>
      </c>
      <c r="E9" s="79">
        <f t="shared" si="0"/>
        <v>6755100</v>
      </c>
      <c r="F9" s="79"/>
      <c r="G9" s="79">
        <f>0.2*$D$2</f>
        <v>506000</v>
      </c>
      <c r="H9" s="79">
        <f t="shared" si="1"/>
        <v>1587448.5</v>
      </c>
      <c r="I9" s="79">
        <f>E9+H9+G9</f>
        <v>8848548.5</v>
      </c>
      <c r="J9" s="79">
        <f t="shared" si="2"/>
        <v>340328.78846153844</v>
      </c>
      <c r="K9" s="66"/>
    </row>
    <row r="10" spans="1:12" ht="15.75" customHeight="1" x14ac:dyDescent="0.2">
      <c r="A10" s="75">
        <v>5</v>
      </c>
      <c r="B10" s="80" t="s">
        <v>142</v>
      </c>
      <c r="C10" s="78" t="s">
        <v>163</v>
      </c>
      <c r="D10" s="78">
        <v>3</v>
      </c>
      <c r="E10" s="79">
        <f t="shared" si="0"/>
        <v>7590000</v>
      </c>
      <c r="F10" s="79"/>
      <c r="G10" s="79">
        <f>0.2*$D$2</f>
        <v>506000</v>
      </c>
      <c r="H10" s="79">
        <f t="shared" si="1"/>
        <v>1783650</v>
      </c>
      <c r="I10" s="79">
        <f>E10+H10+G10</f>
        <v>9879650</v>
      </c>
      <c r="J10" s="79">
        <f t="shared" si="2"/>
        <v>379986.53846153844</v>
      </c>
      <c r="K10" s="66"/>
    </row>
    <row r="11" spans="1:12" ht="15.75" customHeight="1" x14ac:dyDescent="0.2">
      <c r="A11" s="75">
        <v>6</v>
      </c>
      <c r="B11" s="80" t="s">
        <v>143</v>
      </c>
      <c r="C11" s="78" t="s">
        <v>164</v>
      </c>
      <c r="D11" s="78">
        <v>3.33</v>
      </c>
      <c r="E11" s="79">
        <f t="shared" si="0"/>
        <v>8424900</v>
      </c>
      <c r="F11" s="79"/>
      <c r="G11" s="78"/>
      <c r="H11" s="79">
        <f t="shared" si="1"/>
        <v>1979851.5</v>
      </c>
      <c r="I11" s="79">
        <f t="shared" ref="I11:I17" si="3">E11+H11</f>
        <v>10404751.5</v>
      </c>
      <c r="J11" s="79">
        <f t="shared" si="2"/>
        <v>400182.75</v>
      </c>
      <c r="K11" s="66"/>
    </row>
    <row r="12" spans="1:12" ht="15.75" customHeight="1" x14ac:dyDescent="0.2">
      <c r="A12" s="75">
        <v>7</v>
      </c>
      <c r="B12" s="80" t="s">
        <v>144</v>
      </c>
      <c r="C12" s="78" t="s">
        <v>165</v>
      </c>
      <c r="D12" s="78">
        <v>3.66</v>
      </c>
      <c r="E12" s="79">
        <f t="shared" si="0"/>
        <v>9259800</v>
      </c>
      <c r="F12" s="79"/>
      <c r="G12" s="78"/>
      <c r="H12" s="79">
        <f t="shared" si="1"/>
        <v>2176053</v>
      </c>
      <c r="I12" s="79">
        <f t="shared" si="3"/>
        <v>11435853</v>
      </c>
      <c r="J12" s="79">
        <f t="shared" si="2"/>
        <v>439840.5</v>
      </c>
      <c r="K12" s="66"/>
    </row>
    <row r="13" spans="1:12" ht="15.75" customHeight="1" x14ac:dyDescent="0.2">
      <c r="A13" s="75">
        <v>8</v>
      </c>
      <c r="B13" s="80" t="s">
        <v>166</v>
      </c>
      <c r="C13" s="78" t="s">
        <v>167</v>
      </c>
      <c r="D13" s="78">
        <v>3.99</v>
      </c>
      <c r="E13" s="79">
        <f t="shared" si="0"/>
        <v>10094700</v>
      </c>
      <c r="F13" s="79"/>
      <c r="G13" s="78"/>
      <c r="H13" s="79">
        <f t="shared" si="1"/>
        <v>2372254.5</v>
      </c>
      <c r="I13" s="79">
        <f t="shared" si="3"/>
        <v>12466954.5</v>
      </c>
      <c r="J13" s="79">
        <f t="shared" si="2"/>
        <v>479498.25</v>
      </c>
      <c r="K13" s="66"/>
    </row>
    <row r="14" spans="1:12" ht="15.75" customHeight="1" x14ac:dyDescent="0.2">
      <c r="A14" s="75">
        <v>9</v>
      </c>
      <c r="B14" s="78" t="s">
        <v>168</v>
      </c>
      <c r="C14" s="78" t="s">
        <v>169</v>
      </c>
      <c r="D14" s="78">
        <v>4.4000000000000004</v>
      </c>
      <c r="E14" s="79">
        <f t="shared" si="0"/>
        <v>11132000</v>
      </c>
      <c r="F14" s="79"/>
      <c r="G14" s="78"/>
      <c r="H14" s="79">
        <f t="shared" si="1"/>
        <v>2616020</v>
      </c>
      <c r="I14" s="79">
        <f t="shared" si="3"/>
        <v>13748020</v>
      </c>
      <c r="J14" s="79">
        <f t="shared" si="2"/>
        <v>528770</v>
      </c>
      <c r="K14" s="66"/>
    </row>
    <row r="15" spans="1:12" ht="15.75" customHeight="1" x14ac:dyDescent="0.2">
      <c r="A15" s="75">
        <v>10</v>
      </c>
      <c r="B15" s="78" t="s">
        <v>170</v>
      </c>
      <c r="C15" s="78" t="s">
        <v>171</v>
      </c>
      <c r="D15" s="78">
        <v>4.74</v>
      </c>
      <c r="E15" s="79">
        <f t="shared" si="0"/>
        <v>11992200</v>
      </c>
      <c r="F15" s="79"/>
      <c r="G15" s="78"/>
      <c r="H15" s="79">
        <f t="shared" si="1"/>
        <v>2818167</v>
      </c>
      <c r="I15" s="79">
        <f t="shared" si="3"/>
        <v>14810367</v>
      </c>
      <c r="J15" s="79">
        <f t="shared" si="2"/>
        <v>569629.5</v>
      </c>
      <c r="K15" s="66"/>
    </row>
    <row r="16" spans="1:12" ht="15.75" hidden="1" customHeight="1" x14ac:dyDescent="0.2">
      <c r="A16" s="75">
        <v>9</v>
      </c>
      <c r="B16" s="78" t="s">
        <v>172</v>
      </c>
      <c r="C16" s="78"/>
      <c r="D16" s="78">
        <v>2.46</v>
      </c>
      <c r="E16" s="79">
        <f t="shared" si="0"/>
        <v>6223800</v>
      </c>
      <c r="F16" s="79"/>
      <c r="G16" s="78"/>
      <c r="H16" s="79">
        <f t="shared" si="1"/>
        <v>1462593</v>
      </c>
      <c r="I16" s="79">
        <f t="shared" si="3"/>
        <v>7686393</v>
      </c>
      <c r="J16" s="79">
        <f t="shared" si="2"/>
        <v>295630.5</v>
      </c>
      <c r="K16" s="66"/>
    </row>
    <row r="17" spans="1:11" ht="15.75" hidden="1" customHeight="1" x14ac:dyDescent="0.2">
      <c r="A17" s="75">
        <v>10</v>
      </c>
      <c r="B17" s="78" t="s">
        <v>173</v>
      </c>
      <c r="C17" s="78"/>
      <c r="D17" s="78">
        <v>2.86</v>
      </c>
      <c r="E17" s="79">
        <f t="shared" si="0"/>
        <v>7235800</v>
      </c>
      <c r="F17" s="79"/>
      <c r="G17" s="78"/>
      <c r="H17" s="79">
        <f t="shared" si="1"/>
        <v>1700413</v>
      </c>
      <c r="I17" s="79">
        <f t="shared" si="3"/>
        <v>8936213</v>
      </c>
      <c r="J17" s="79">
        <f t="shared" si="2"/>
        <v>343700.5</v>
      </c>
      <c r="K17" s="66"/>
    </row>
    <row r="18" spans="1:11" ht="15.75" hidden="1" customHeight="1" x14ac:dyDescent="0.2">
      <c r="A18" s="75">
        <v>11</v>
      </c>
      <c r="B18" s="78" t="s">
        <v>174</v>
      </c>
      <c r="C18" s="78"/>
      <c r="D18" s="78">
        <v>2.23</v>
      </c>
      <c r="E18" s="79">
        <f t="shared" si="0"/>
        <v>5641900</v>
      </c>
      <c r="F18" s="79"/>
      <c r="G18" s="78"/>
      <c r="H18" s="79">
        <f t="shared" si="1"/>
        <v>1325846.5</v>
      </c>
      <c r="I18" s="79">
        <f>E18+F18+H18</f>
        <v>6967746.5</v>
      </c>
      <c r="J18" s="79">
        <f t="shared" si="2"/>
        <v>267990.25</v>
      </c>
      <c r="K18" s="66"/>
    </row>
    <row r="19" spans="1:11" ht="15.75" hidden="1" customHeight="1" x14ac:dyDescent="0.2">
      <c r="A19" s="75">
        <v>12</v>
      </c>
      <c r="B19" s="78" t="s">
        <v>175</v>
      </c>
      <c r="C19" s="78"/>
      <c r="D19" s="78">
        <v>2.77</v>
      </c>
      <c r="E19" s="79">
        <f t="shared" si="0"/>
        <v>7008100</v>
      </c>
      <c r="F19" s="79"/>
      <c r="G19" s="78"/>
      <c r="H19" s="79">
        <f t="shared" si="1"/>
        <v>1646903.5</v>
      </c>
      <c r="I19" s="79">
        <f>E19+F19+H19</f>
        <v>8655003.5</v>
      </c>
      <c r="J19" s="79">
        <f t="shared" si="2"/>
        <v>332884.75</v>
      </c>
      <c r="K19" s="66"/>
    </row>
    <row r="20" spans="1:11" ht="15.75" hidden="1" customHeight="1" x14ac:dyDescent="0.2">
      <c r="A20" s="75" t="s">
        <v>26</v>
      </c>
      <c r="B20" s="78" t="s">
        <v>176</v>
      </c>
      <c r="C20" s="78"/>
      <c r="D20" s="78"/>
      <c r="E20" s="79"/>
      <c r="F20" s="79"/>
      <c r="G20" s="78"/>
      <c r="H20" s="79"/>
      <c r="I20" s="79"/>
      <c r="J20" s="79"/>
      <c r="K20" s="66"/>
    </row>
    <row r="21" spans="1:11" ht="15.75" hidden="1" customHeight="1" x14ac:dyDescent="0.2">
      <c r="A21" s="75">
        <v>1</v>
      </c>
      <c r="B21" s="78" t="s">
        <v>141</v>
      </c>
      <c r="C21" s="78"/>
      <c r="D21" s="78">
        <v>2.67</v>
      </c>
      <c r="E21" s="79">
        <f>D21*$D$2</f>
        <v>6755100</v>
      </c>
      <c r="F21" s="79"/>
      <c r="G21" s="79">
        <f>0.2*$D$2</f>
        <v>506000</v>
      </c>
      <c r="H21" s="79">
        <f>0.235*E21</f>
        <v>1587448.5</v>
      </c>
      <c r="I21" s="79">
        <f>E21+H21</f>
        <v>8342548.5</v>
      </c>
      <c r="J21" s="79">
        <f>I21/26</f>
        <v>320867.25</v>
      </c>
      <c r="K21" s="66"/>
    </row>
    <row r="22" spans="1:11" ht="15.75" hidden="1" customHeight="1" x14ac:dyDescent="0.2">
      <c r="A22" s="75">
        <v>2</v>
      </c>
      <c r="B22" s="78" t="s">
        <v>142</v>
      </c>
      <c r="C22" s="78"/>
      <c r="D22" s="78">
        <v>3</v>
      </c>
      <c r="E22" s="79">
        <f>D22*$D$2</f>
        <v>7590000</v>
      </c>
      <c r="F22" s="79"/>
      <c r="G22" s="79">
        <f>0.2*$D$2</f>
        <v>506000</v>
      </c>
      <c r="H22" s="79">
        <f>0.235*E22</f>
        <v>1783650</v>
      </c>
      <c r="I22" s="79">
        <f>E22+H22</f>
        <v>9373650</v>
      </c>
      <c r="J22" s="79">
        <f>I22/26</f>
        <v>360525</v>
      </c>
      <c r="K22" s="66"/>
    </row>
    <row r="23" spans="1:11" ht="15.75" hidden="1" customHeight="1" x14ac:dyDescent="0.2">
      <c r="A23" s="75">
        <v>3</v>
      </c>
      <c r="B23" s="78" t="s">
        <v>143</v>
      </c>
      <c r="C23" s="78"/>
      <c r="D23" s="78">
        <v>3.33</v>
      </c>
      <c r="E23" s="79">
        <f>D23*$D$2</f>
        <v>8424900</v>
      </c>
      <c r="F23" s="79"/>
      <c r="G23" s="79">
        <f>0.2*$D$2</f>
        <v>506000</v>
      </c>
      <c r="H23" s="79">
        <f>0.235*E23</f>
        <v>1979851.5</v>
      </c>
      <c r="I23" s="79">
        <f>E23+H23</f>
        <v>10404751.5</v>
      </c>
      <c r="J23" s="79">
        <f>I23/26</f>
        <v>400182.75</v>
      </c>
      <c r="K23" s="66"/>
    </row>
    <row r="24" spans="1:11" ht="15.75" hidden="1" customHeight="1" x14ac:dyDescent="0.2">
      <c r="A24" s="75">
        <v>4</v>
      </c>
      <c r="B24" s="78" t="s">
        <v>177</v>
      </c>
      <c r="C24" s="78"/>
      <c r="D24" s="78">
        <v>2.34</v>
      </c>
      <c r="E24" s="79">
        <f>D24*$D$2</f>
        <v>5920200</v>
      </c>
      <c r="F24" s="79"/>
      <c r="G24" s="79">
        <f>0.2*$D$2</f>
        <v>506000</v>
      </c>
      <c r="H24" s="79">
        <f>0.235*E24</f>
        <v>1391247</v>
      </c>
      <c r="I24" s="79">
        <f>E24+H24</f>
        <v>7311447</v>
      </c>
      <c r="J24" s="79">
        <f>I24/26</f>
        <v>281209.5</v>
      </c>
      <c r="K24" s="66"/>
    </row>
    <row r="25" spans="1:11" ht="15.75" hidden="1" customHeight="1" x14ac:dyDescent="0.2">
      <c r="A25" s="75">
        <v>5</v>
      </c>
      <c r="B25" s="78" t="s">
        <v>178</v>
      </c>
      <c r="C25" s="78"/>
      <c r="D25" s="78">
        <v>2.67</v>
      </c>
      <c r="E25" s="79">
        <f>D25*$D$2</f>
        <v>6755100</v>
      </c>
      <c r="F25" s="79"/>
      <c r="G25" s="79">
        <f>0.2*$D$2</f>
        <v>506000</v>
      </c>
      <c r="H25" s="79">
        <f>0.235*E25</f>
        <v>1587448.5</v>
      </c>
      <c r="I25" s="79">
        <f>E25+H25</f>
        <v>8342548.5</v>
      </c>
      <c r="J25" s="79">
        <f>I25/26</f>
        <v>320867.25</v>
      </c>
      <c r="K25" s="66"/>
    </row>
    <row r="26" spans="1:11" ht="15.75" customHeight="1" x14ac:dyDescent="0.2">
      <c r="A26" s="76"/>
      <c r="B26" s="77" t="s">
        <v>179</v>
      </c>
      <c r="C26" s="77" t="s">
        <v>180</v>
      </c>
      <c r="D26" s="78"/>
      <c r="E26" s="79"/>
      <c r="F26" s="79"/>
      <c r="G26" s="78"/>
      <c r="H26" s="79"/>
      <c r="I26" s="78"/>
      <c r="J26" s="79"/>
      <c r="K26" s="66"/>
    </row>
    <row r="27" spans="1:11" ht="15.75" hidden="1" customHeight="1" x14ac:dyDescent="0.2">
      <c r="A27" s="75">
        <v>1</v>
      </c>
      <c r="B27" s="80" t="s">
        <v>181</v>
      </c>
      <c r="C27" s="80" t="s">
        <v>182</v>
      </c>
      <c r="D27" s="78"/>
      <c r="E27" s="79"/>
      <c r="F27" s="79"/>
      <c r="G27" s="78"/>
      <c r="H27" s="78"/>
      <c r="I27" s="78"/>
      <c r="J27" s="79">
        <f>J7+J11</f>
        <v>721050</v>
      </c>
      <c r="K27" s="66"/>
    </row>
    <row r="28" spans="1:11" ht="15.75" hidden="1" customHeight="1" x14ac:dyDescent="0.2">
      <c r="A28" s="75">
        <v>2</v>
      </c>
      <c r="B28" s="80" t="s">
        <v>183</v>
      </c>
      <c r="C28" s="80" t="s">
        <v>184</v>
      </c>
      <c r="D28" s="78"/>
      <c r="E28" s="79"/>
      <c r="F28" s="79"/>
      <c r="G28" s="78"/>
      <c r="H28" s="78"/>
      <c r="I28" s="78"/>
      <c r="J28" s="79">
        <f>J8+J15</f>
        <v>930154.5</v>
      </c>
      <c r="K28" s="66"/>
    </row>
    <row r="29" spans="1:11" ht="20.25" hidden="1" customHeight="1" x14ac:dyDescent="0.2">
      <c r="A29" s="75">
        <v>3</v>
      </c>
      <c r="B29" s="80" t="s">
        <v>185</v>
      </c>
      <c r="C29" s="80" t="s">
        <v>186</v>
      </c>
      <c r="D29" s="78"/>
      <c r="E29" s="79"/>
      <c r="F29" s="79"/>
      <c r="G29" s="78"/>
      <c r="H29" s="78"/>
      <c r="I29" s="78"/>
      <c r="J29" s="79">
        <f>J11+J13</f>
        <v>879681</v>
      </c>
      <c r="K29" s="66"/>
    </row>
    <row r="30" spans="1:11" ht="15.75" hidden="1" customHeight="1" x14ac:dyDescent="0.2">
      <c r="A30" s="75">
        <v>4</v>
      </c>
      <c r="B30" s="80" t="s">
        <v>187</v>
      </c>
      <c r="C30" s="80" t="s">
        <v>188</v>
      </c>
      <c r="D30" s="78"/>
      <c r="E30" s="79"/>
      <c r="F30" s="79"/>
      <c r="G30" s="78"/>
      <c r="H30" s="78"/>
      <c r="I30" s="78"/>
      <c r="J30" s="79">
        <f>J8*2</f>
        <v>721050</v>
      </c>
      <c r="K30" s="66"/>
    </row>
    <row r="31" spans="1:11" s="86" customFormat="1" ht="15.75" customHeight="1" x14ac:dyDescent="0.2">
      <c r="A31" s="81">
        <v>5</v>
      </c>
      <c r="B31" s="82" t="s">
        <v>189</v>
      </c>
      <c r="C31" s="82" t="s">
        <v>190</v>
      </c>
      <c r="D31" s="83"/>
      <c r="E31" s="84"/>
      <c r="F31" s="84"/>
      <c r="G31" s="83"/>
      <c r="H31" s="83"/>
      <c r="I31" s="83"/>
      <c r="J31" s="84">
        <f>J22</f>
        <v>360525</v>
      </c>
      <c r="K31" s="85"/>
    </row>
    <row r="32" spans="1:11" s="86" customFormat="1" ht="15.75" customHeight="1" x14ac:dyDescent="0.2">
      <c r="A32" s="81">
        <v>6</v>
      </c>
      <c r="B32" s="82" t="s">
        <v>191</v>
      </c>
      <c r="C32" s="82" t="s">
        <v>212</v>
      </c>
      <c r="D32" s="83"/>
      <c r="E32" s="84"/>
      <c r="F32" s="84"/>
      <c r="G32" s="83"/>
      <c r="H32" s="83"/>
      <c r="I32" s="83"/>
      <c r="J32" s="84">
        <f>J8+J11</f>
        <v>760707.75</v>
      </c>
      <c r="K32" s="85"/>
    </row>
    <row r="33" spans="1:13" ht="15.75" hidden="1" customHeight="1" x14ac:dyDescent="0.2">
      <c r="A33" s="75">
        <v>7</v>
      </c>
      <c r="B33" s="80" t="s">
        <v>192</v>
      </c>
      <c r="C33" s="80" t="s">
        <v>188</v>
      </c>
      <c r="D33" s="78"/>
      <c r="E33" s="79"/>
      <c r="F33" s="79"/>
      <c r="G33" s="78"/>
      <c r="H33" s="78"/>
      <c r="I33" s="78"/>
      <c r="J33" s="79">
        <f>2*J8</f>
        <v>721050</v>
      </c>
      <c r="K33" s="66"/>
    </row>
    <row r="34" spans="1:13" ht="15.75" hidden="1" customHeight="1" x14ac:dyDescent="0.2">
      <c r="A34" s="75">
        <v>8</v>
      </c>
      <c r="B34" s="80" t="s">
        <v>193</v>
      </c>
      <c r="C34" s="80" t="s">
        <v>194</v>
      </c>
      <c r="D34" s="78"/>
      <c r="E34" s="79"/>
      <c r="F34" s="79"/>
      <c r="G34" s="78"/>
      <c r="H34" s="78"/>
      <c r="I34" s="78"/>
      <c r="J34" s="79">
        <f>J11+J13++J15</f>
        <v>1449310.5</v>
      </c>
      <c r="K34" s="66"/>
    </row>
    <row r="35" spans="1:13" ht="15.75" hidden="1" customHeight="1" x14ac:dyDescent="0.2">
      <c r="A35" s="75">
        <v>9</v>
      </c>
      <c r="B35" s="80" t="s">
        <v>195</v>
      </c>
      <c r="C35" s="80" t="s">
        <v>196</v>
      </c>
      <c r="D35" s="78"/>
      <c r="E35" s="79"/>
      <c r="F35" s="79"/>
      <c r="G35" s="78"/>
      <c r="H35" s="78"/>
      <c r="I35" s="78"/>
      <c r="J35" s="79">
        <f>3*J8</f>
        <v>1081575</v>
      </c>
      <c r="K35" s="66"/>
    </row>
    <row r="36" spans="1:13" ht="15.75" hidden="1" customHeight="1" x14ac:dyDescent="0.2">
      <c r="A36" s="75">
        <v>10</v>
      </c>
      <c r="B36" s="80" t="s">
        <v>197</v>
      </c>
      <c r="C36" s="80" t="s">
        <v>198</v>
      </c>
      <c r="D36" s="78"/>
      <c r="E36" s="79"/>
      <c r="F36" s="79"/>
      <c r="G36" s="78"/>
      <c r="H36" s="78"/>
      <c r="I36" s="78"/>
      <c r="J36" s="79">
        <f>3*J12</f>
        <v>1319521.5</v>
      </c>
      <c r="K36" s="66"/>
    </row>
    <row r="37" spans="1:13" ht="15.75" hidden="1" customHeight="1" x14ac:dyDescent="0.2">
      <c r="A37" s="75">
        <v>11</v>
      </c>
      <c r="B37" s="80"/>
      <c r="C37" s="80" t="s">
        <v>199</v>
      </c>
      <c r="D37" s="78"/>
      <c r="E37" s="79"/>
      <c r="F37" s="79"/>
      <c r="G37" s="78"/>
      <c r="H37" s="78"/>
      <c r="I37" s="78"/>
      <c r="J37" s="79">
        <f>J6+2*J8</f>
        <v>1002259.5</v>
      </c>
      <c r="K37" s="66"/>
    </row>
    <row r="38" spans="1:13" ht="15.75" hidden="1" customHeight="1" x14ac:dyDescent="0.2">
      <c r="A38" s="75">
        <v>12</v>
      </c>
      <c r="B38" s="80" t="s">
        <v>200</v>
      </c>
      <c r="C38" s="80" t="s">
        <v>201</v>
      </c>
      <c r="D38" s="78"/>
      <c r="E38" s="79"/>
      <c r="F38" s="79"/>
      <c r="G38" s="78"/>
      <c r="H38" s="78"/>
      <c r="I38" s="78"/>
      <c r="J38" s="79">
        <f>4*J8</f>
        <v>1442100</v>
      </c>
      <c r="K38" s="66"/>
    </row>
    <row r="39" spans="1:13" ht="15.75" hidden="1" customHeight="1" x14ac:dyDescent="0.2">
      <c r="A39" s="75">
        <v>13</v>
      </c>
      <c r="B39" s="80" t="s">
        <v>202</v>
      </c>
      <c r="C39" s="80" t="s">
        <v>201</v>
      </c>
      <c r="D39" s="78"/>
      <c r="E39" s="79"/>
      <c r="F39" s="79"/>
      <c r="G39" s="78"/>
      <c r="H39" s="78"/>
      <c r="I39" s="78"/>
      <c r="J39" s="79">
        <f>4*J8</f>
        <v>1442100</v>
      </c>
      <c r="K39" s="66"/>
    </row>
    <row r="40" spans="1:13" ht="15.75" hidden="1" customHeight="1" x14ac:dyDescent="0.25">
      <c r="A40" s="75">
        <v>14</v>
      </c>
      <c r="B40" s="87" t="s">
        <v>203</v>
      </c>
      <c r="C40" s="80" t="s">
        <v>201</v>
      </c>
      <c r="D40" s="78"/>
      <c r="E40" s="79"/>
      <c r="F40" s="79"/>
      <c r="G40" s="78"/>
      <c r="H40" s="78"/>
      <c r="I40" s="78"/>
      <c r="J40" s="79">
        <f>J39</f>
        <v>1442100</v>
      </c>
      <c r="K40" s="66"/>
    </row>
    <row r="41" spans="1:13" ht="15.75" customHeight="1" x14ac:dyDescent="0.2">
      <c r="A41" s="76" t="s">
        <v>26</v>
      </c>
      <c r="B41" s="77" t="s">
        <v>5</v>
      </c>
      <c r="C41" s="77" t="s">
        <v>5</v>
      </c>
      <c r="D41" s="78"/>
      <c r="E41" s="79"/>
      <c r="F41" s="79"/>
      <c r="G41" s="78"/>
      <c r="H41" s="78"/>
      <c r="I41" s="78"/>
      <c r="J41" s="79"/>
      <c r="K41" s="66"/>
    </row>
    <row r="42" spans="1:13" ht="15.75" customHeight="1" x14ac:dyDescent="0.2">
      <c r="A42" s="75">
        <v>1</v>
      </c>
      <c r="B42" s="80" t="s">
        <v>140</v>
      </c>
      <c r="C42" s="78" t="s">
        <v>159</v>
      </c>
      <c r="D42" s="78">
        <v>2.34</v>
      </c>
      <c r="E42" s="79">
        <f t="shared" ref="E42:E60" si="4">D42*$D$2</f>
        <v>5920200</v>
      </c>
      <c r="F42" s="79">
        <f t="shared" ref="F42:F60" si="5">0.4*$D$2</f>
        <v>1012000</v>
      </c>
      <c r="G42" s="78"/>
      <c r="H42" s="79">
        <f t="shared" ref="H42:H60" si="6">0.235*E42</f>
        <v>1391247</v>
      </c>
      <c r="I42" s="79">
        <f t="shared" ref="I42:I60" si="7">E42+H42+F42</f>
        <v>8323447</v>
      </c>
      <c r="J42" s="79">
        <f t="shared" ref="J42:J60" si="8">I42/26</f>
        <v>320132.57692307694</v>
      </c>
      <c r="K42" s="66"/>
    </row>
    <row r="43" spans="1:13" ht="15.75" customHeight="1" x14ac:dyDescent="0.2">
      <c r="A43" s="75">
        <v>2</v>
      </c>
      <c r="B43" s="80" t="s">
        <v>141</v>
      </c>
      <c r="C43" s="78" t="s">
        <v>160</v>
      </c>
      <c r="D43" s="78">
        <v>2.67</v>
      </c>
      <c r="E43" s="79">
        <f t="shared" si="4"/>
        <v>6755100</v>
      </c>
      <c r="F43" s="79">
        <f t="shared" si="5"/>
        <v>1012000</v>
      </c>
      <c r="G43" s="78"/>
      <c r="H43" s="79">
        <f t="shared" si="6"/>
        <v>1587448.5</v>
      </c>
      <c r="I43" s="79">
        <f t="shared" si="7"/>
        <v>9354548.5</v>
      </c>
      <c r="J43" s="79">
        <f t="shared" si="8"/>
        <v>359790.32692307694</v>
      </c>
      <c r="K43" s="66"/>
    </row>
    <row r="44" spans="1:13" ht="15.75" customHeight="1" x14ac:dyDescent="0.2">
      <c r="A44" s="75">
        <v>3</v>
      </c>
      <c r="B44" s="80" t="s">
        <v>142</v>
      </c>
      <c r="C44" s="78" t="s">
        <v>161</v>
      </c>
      <c r="D44" s="78">
        <v>3</v>
      </c>
      <c r="E44" s="79">
        <f t="shared" si="4"/>
        <v>7590000</v>
      </c>
      <c r="F44" s="79">
        <f t="shared" si="5"/>
        <v>1012000</v>
      </c>
      <c r="G44" s="78"/>
      <c r="H44" s="79">
        <f t="shared" si="6"/>
        <v>1783650</v>
      </c>
      <c r="I44" s="79">
        <f t="shared" si="7"/>
        <v>10385650</v>
      </c>
      <c r="J44" s="79">
        <f t="shared" si="8"/>
        <v>399448.07692307694</v>
      </c>
      <c r="K44" s="66"/>
    </row>
    <row r="45" spans="1:13" ht="15.75" customHeight="1" x14ac:dyDescent="0.2">
      <c r="A45" s="75">
        <v>4</v>
      </c>
      <c r="B45" s="80" t="s">
        <v>143</v>
      </c>
      <c r="C45" s="78" t="s">
        <v>164</v>
      </c>
      <c r="D45" s="78">
        <v>3.33</v>
      </c>
      <c r="E45" s="79">
        <f t="shared" si="4"/>
        <v>8424900</v>
      </c>
      <c r="F45" s="79">
        <f t="shared" si="5"/>
        <v>1012000</v>
      </c>
      <c r="G45" s="78"/>
      <c r="H45" s="79">
        <f t="shared" si="6"/>
        <v>1979851.5</v>
      </c>
      <c r="I45" s="79">
        <f t="shared" si="7"/>
        <v>11416751.5</v>
      </c>
      <c r="J45" s="79">
        <f t="shared" si="8"/>
        <v>439105.82692307694</v>
      </c>
      <c r="K45" s="70">
        <f>J45+J50</f>
        <v>789282.15384615387</v>
      </c>
      <c r="L45" s="88">
        <f>ROUND(K45*0.5,0)</f>
        <v>394641</v>
      </c>
      <c r="M45" s="88">
        <f>L45*232</f>
        <v>91556712</v>
      </c>
    </row>
    <row r="46" spans="1:13" ht="15.75" customHeight="1" x14ac:dyDescent="0.2">
      <c r="A46" s="75">
        <v>5</v>
      </c>
      <c r="B46" s="80" t="s">
        <v>144</v>
      </c>
      <c r="C46" s="78" t="s">
        <v>165</v>
      </c>
      <c r="D46" s="78">
        <v>3.66</v>
      </c>
      <c r="E46" s="79">
        <f t="shared" si="4"/>
        <v>9259800</v>
      </c>
      <c r="F46" s="79">
        <f t="shared" si="5"/>
        <v>1012000</v>
      </c>
      <c r="G46" s="78"/>
      <c r="H46" s="79">
        <f t="shared" si="6"/>
        <v>2176053</v>
      </c>
      <c r="I46" s="79">
        <f t="shared" si="7"/>
        <v>12447853</v>
      </c>
      <c r="J46" s="79">
        <f t="shared" si="8"/>
        <v>478763.57692307694</v>
      </c>
      <c r="K46" s="66"/>
    </row>
    <row r="47" spans="1:13" ht="15.75" customHeight="1" x14ac:dyDescent="0.2">
      <c r="A47" s="75">
        <v>6</v>
      </c>
      <c r="B47" s="80" t="s">
        <v>166</v>
      </c>
      <c r="C47" s="78" t="s">
        <v>167</v>
      </c>
      <c r="D47" s="78">
        <v>3.99</v>
      </c>
      <c r="E47" s="79">
        <f t="shared" si="4"/>
        <v>10094700</v>
      </c>
      <c r="F47" s="79">
        <f t="shared" si="5"/>
        <v>1012000</v>
      </c>
      <c r="G47" s="78"/>
      <c r="H47" s="79">
        <f t="shared" si="6"/>
        <v>2372254.5</v>
      </c>
      <c r="I47" s="79">
        <f t="shared" si="7"/>
        <v>13478954.5</v>
      </c>
      <c r="J47" s="79">
        <f t="shared" si="8"/>
        <v>518421.32692307694</v>
      </c>
      <c r="K47" s="66"/>
    </row>
    <row r="48" spans="1:13" ht="15.75" customHeight="1" x14ac:dyDescent="0.2">
      <c r="A48" s="75">
        <v>7</v>
      </c>
      <c r="B48" s="78" t="s">
        <v>170</v>
      </c>
      <c r="C48" s="78" t="s">
        <v>169</v>
      </c>
      <c r="D48" s="78">
        <v>4.74</v>
      </c>
      <c r="E48" s="79">
        <f t="shared" si="4"/>
        <v>11992200</v>
      </c>
      <c r="F48" s="79">
        <f t="shared" si="5"/>
        <v>1012000</v>
      </c>
      <c r="G48" s="78"/>
      <c r="H48" s="79">
        <f t="shared" si="6"/>
        <v>2818167</v>
      </c>
      <c r="I48" s="79">
        <f t="shared" si="7"/>
        <v>15822367</v>
      </c>
      <c r="J48" s="79">
        <f t="shared" si="8"/>
        <v>608552.57692307688</v>
      </c>
      <c r="K48" s="66"/>
    </row>
    <row r="49" spans="1:11" ht="15.75" customHeight="1" x14ac:dyDescent="0.2">
      <c r="A49" s="75">
        <v>8</v>
      </c>
      <c r="B49" s="78" t="s">
        <v>168</v>
      </c>
      <c r="C49" s="78" t="s">
        <v>171</v>
      </c>
      <c r="D49" s="78">
        <v>4.4000000000000004</v>
      </c>
      <c r="E49" s="79">
        <f t="shared" si="4"/>
        <v>11132000</v>
      </c>
      <c r="F49" s="79">
        <f t="shared" si="5"/>
        <v>1012000</v>
      </c>
      <c r="G49" s="78"/>
      <c r="H49" s="79">
        <f t="shared" si="6"/>
        <v>2616020</v>
      </c>
      <c r="I49" s="79">
        <f t="shared" si="7"/>
        <v>14760020</v>
      </c>
      <c r="J49" s="79">
        <f t="shared" si="8"/>
        <v>567693.07692307688</v>
      </c>
      <c r="K49" s="66"/>
    </row>
    <row r="50" spans="1:11" s="34" customFormat="1" ht="15.75" customHeight="1" x14ac:dyDescent="0.25">
      <c r="A50" s="89">
        <v>9</v>
      </c>
      <c r="B50" s="90" t="s">
        <v>204</v>
      </c>
      <c r="C50" s="90" t="s">
        <v>145</v>
      </c>
      <c r="D50" s="91">
        <v>2.59</v>
      </c>
      <c r="E50" s="92">
        <f t="shared" si="4"/>
        <v>6552700</v>
      </c>
      <c r="F50" s="92">
        <f t="shared" si="5"/>
        <v>1012000</v>
      </c>
      <c r="G50" s="93"/>
      <c r="H50" s="92">
        <f t="shared" si="6"/>
        <v>1539884.5</v>
      </c>
      <c r="I50" s="92">
        <f t="shared" si="7"/>
        <v>9104584.5</v>
      </c>
      <c r="J50" s="92">
        <f t="shared" si="8"/>
        <v>350176.32692307694</v>
      </c>
      <c r="K50" s="94"/>
    </row>
    <row r="51" spans="1:11" ht="15.75" hidden="1" customHeight="1" x14ac:dyDescent="0.2">
      <c r="A51" s="75">
        <v>9</v>
      </c>
      <c r="B51" s="78" t="s">
        <v>172</v>
      </c>
      <c r="C51" s="78"/>
      <c r="D51" s="78">
        <v>2.46</v>
      </c>
      <c r="E51" s="79">
        <f t="shared" si="4"/>
        <v>6223800</v>
      </c>
      <c r="F51" s="79">
        <f t="shared" si="5"/>
        <v>1012000</v>
      </c>
      <c r="G51" s="78"/>
      <c r="H51" s="79">
        <f t="shared" si="6"/>
        <v>1462593</v>
      </c>
      <c r="I51" s="79">
        <f t="shared" si="7"/>
        <v>8698393</v>
      </c>
      <c r="J51" s="79">
        <f t="shared" si="8"/>
        <v>334553.57692307694</v>
      </c>
      <c r="K51" s="66"/>
    </row>
    <row r="52" spans="1:11" ht="15.75" hidden="1" customHeight="1" x14ac:dyDescent="0.2">
      <c r="A52" s="75">
        <v>10</v>
      </c>
      <c r="B52" s="78" t="s">
        <v>173</v>
      </c>
      <c r="C52" s="78"/>
      <c r="D52" s="78">
        <v>2.86</v>
      </c>
      <c r="E52" s="79">
        <f t="shared" si="4"/>
        <v>7235800</v>
      </c>
      <c r="F52" s="79">
        <f t="shared" si="5"/>
        <v>1012000</v>
      </c>
      <c r="G52" s="78"/>
      <c r="H52" s="79">
        <f t="shared" si="6"/>
        <v>1700413</v>
      </c>
      <c r="I52" s="79">
        <f t="shared" si="7"/>
        <v>9948213</v>
      </c>
      <c r="J52" s="79">
        <f t="shared" si="8"/>
        <v>382623.57692307694</v>
      </c>
      <c r="K52" s="66"/>
    </row>
    <row r="53" spans="1:11" ht="15.75" hidden="1" customHeight="1" x14ac:dyDescent="0.2">
      <c r="A53" s="75">
        <v>11</v>
      </c>
      <c r="B53" s="78" t="s">
        <v>174</v>
      </c>
      <c r="C53" s="78"/>
      <c r="D53" s="78">
        <v>2.23</v>
      </c>
      <c r="E53" s="79">
        <f t="shared" si="4"/>
        <v>5641900</v>
      </c>
      <c r="F53" s="79">
        <f t="shared" si="5"/>
        <v>1012000</v>
      </c>
      <c r="G53" s="78"/>
      <c r="H53" s="79">
        <f t="shared" si="6"/>
        <v>1325846.5</v>
      </c>
      <c r="I53" s="79">
        <f t="shared" si="7"/>
        <v>7979746.5</v>
      </c>
      <c r="J53" s="79">
        <f t="shared" si="8"/>
        <v>306913.32692307694</v>
      </c>
      <c r="K53" s="66"/>
    </row>
    <row r="54" spans="1:11" ht="15.75" hidden="1" customHeight="1" x14ac:dyDescent="0.2">
      <c r="A54" s="75">
        <v>12</v>
      </c>
      <c r="B54" s="78" t="s">
        <v>175</v>
      </c>
      <c r="C54" s="78"/>
      <c r="D54" s="78">
        <v>2.77</v>
      </c>
      <c r="E54" s="79">
        <f t="shared" si="4"/>
        <v>7008100</v>
      </c>
      <c r="F54" s="79">
        <f t="shared" si="5"/>
        <v>1012000</v>
      </c>
      <c r="G54" s="78"/>
      <c r="H54" s="79">
        <f t="shared" si="6"/>
        <v>1646903.5</v>
      </c>
      <c r="I54" s="79">
        <f t="shared" si="7"/>
        <v>9667003.5</v>
      </c>
      <c r="J54" s="79">
        <f t="shared" si="8"/>
        <v>371807.82692307694</v>
      </c>
      <c r="K54" s="66"/>
    </row>
    <row r="55" spans="1:11" ht="15.75" hidden="1" customHeight="1" x14ac:dyDescent="0.2">
      <c r="A55" s="75" t="s">
        <v>26</v>
      </c>
      <c r="B55" s="78" t="s">
        <v>176</v>
      </c>
      <c r="C55" s="78"/>
      <c r="D55" s="78"/>
      <c r="E55" s="79">
        <f t="shared" si="4"/>
        <v>0</v>
      </c>
      <c r="F55" s="79">
        <f t="shared" si="5"/>
        <v>1012000</v>
      </c>
      <c r="G55" s="78"/>
      <c r="H55" s="79">
        <f t="shared" si="6"/>
        <v>0</v>
      </c>
      <c r="I55" s="79">
        <f t="shared" si="7"/>
        <v>1012000</v>
      </c>
      <c r="J55" s="79">
        <f t="shared" si="8"/>
        <v>38923.076923076922</v>
      </c>
      <c r="K55" s="66"/>
    </row>
    <row r="56" spans="1:11" ht="15.75" hidden="1" customHeight="1" x14ac:dyDescent="0.2">
      <c r="A56" s="75">
        <v>1</v>
      </c>
      <c r="B56" s="78" t="s">
        <v>141</v>
      </c>
      <c r="C56" s="78"/>
      <c r="D56" s="78">
        <v>2.67</v>
      </c>
      <c r="E56" s="79">
        <f t="shared" si="4"/>
        <v>6755100</v>
      </c>
      <c r="F56" s="79">
        <f t="shared" si="5"/>
        <v>1012000</v>
      </c>
      <c r="G56" s="78"/>
      <c r="H56" s="79">
        <f t="shared" si="6"/>
        <v>1587448.5</v>
      </c>
      <c r="I56" s="79">
        <f t="shared" si="7"/>
        <v>9354548.5</v>
      </c>
      <c r="J56" s="79">
        <f t="shared" si="8"/>
        <v>359790.32692307694</v>
      </c>
      <c r="K56" s="66"/>
    </row>
    <row r="57" spans="1:11" ht="15.75" hidden="1" customHeight="1" x14ac:dyDescent="0.2">
      <c r="A57" s="75">
        <v>2</v>
      </c>
      <c r="B57" s="78" t="s">
        <v>142</v>
      </c>
      <c r="C57" s="78"/>
      <c r="D57" s="78">
        <v>3</v>
      </c>
      <c r="E57" s="79">
        <f t="shared" si="4"/>
        <v>7590000</v>
      </c>
      <c r="F57" s="79">
        <f t="shared" si="5"/>
        <v>1012000</v>
      </c>
      <c r="G57" s="78"/>
      <c r="H57" s="79">
        <f t="shared" si="6"/>
        <v>1783650</v>
      </c>
      <c r="I57" s="79">
        <f t="shared" si="7"/>
        <v>10385650</v>
      </c>
      <c r="J57" s="79">
        <f t="shared" si="8"/>
        <v>399448.07692307694</v>
      </c>
      <c r="K57" s="66"/>
    </row>
    <row r="58" spans="1:11" ht="15.75" hidden="1" customHeight="1" x14ac:dyDescent="0.2">
      <c r="A58" s="75">
        <v>3</v>
      </c>
      <c r="B58" s="78" t="s">
        <v>143</v>
      </c>
      <c r="C58" s="78"/>
      <c r="D58" s="78">
        <v>3.33</v>
      </c>
      <c r="E58" s="79">
        <f t="shared" si="4"/>
        <v>8424900</v>
      </c>
      <c r="F58" s="79">
        <f t="shared" si="5"/>
        <v>1012000</v>
      </c>
      <c r="G58" s="78"/>
      <c r="H58" s="79">
        <f t="shared" si="6"/>
        <v>1979851.5</v>
      </c>
      <c r="I58" s="79">
        <f t="shared" si="7"/>
        <v>11416751.5</v>
      </c>
      <c r="J58" s="79">
        <f t="shared" si="8"/>
        <v>439105.82692307694</v>
      </c>
      <c r="K58" s="66"/>
    </row>
    <row r="59" spans="1:11" ht="15.75" hidden="1" customHeight="1" x14ac:dyDescent="0.2">
      <c r="A59" s="75">
        <v>4</v>
      </c>
      <c r="B59" s="78" t="s">
        <v>177</v>
      </c>
      <c r="C59" s="78"/>
      <c r="D59" s="78">
        <v>2.34</v>
      </c>
      <c r="E59" s="79">
        <f t="shared" si="4"/>
        <v>5920200</v>
      </c>
      <c r="F59" s="79">
        <f t="shared" si="5"/>
        <v>1012000</v>
      </c>
      <c r="G59" s="78"/>
      <c r="H59" s="79">
        <f t="shared" si="6"/>
        <v>1391247</v>
      </c>
      <c r="I59" s="79">
        <f t="shared" si="7"/>
        <v>8323447</v>
      </c>
      <c r="J59" s="79">
        <f t="shared" si="8"/>
        <v>320132.57692307694</v>
      </c>
      <c r="K59" s="66"/>
    </row>
    <row r="60" spans="1:11" ht="15.75" hidden="1" customHeight="1" x14ac:dyDescent="0.2">
      <c r="A60" s="75">
        <v>5</v>
      </c>
      <c r="B60" s="78" t="s">
        <v>178</v>
      </c>
      <c r="C60" s="78"/>
      <c r="D60" s="78">
        <v>2.67</v>
      </c>
      <c r="E60" s="79">
        <f t="shared" si="4"/>
        <v>6755100</v>
      </c>
      <c r="F60" s="79">
        <f t="shared" si="5"/>
        <v>1012000</v>
      </c>
      <c r="G60" s="78"/>
      <c r="H60" s="79">
        <f t="shared" si="6"/>
        <v>1587448.5</v>
      </c>
      <c r="I60" s="79">
        <f t="shared" si="7"/>
        <v>9354548.5</v>
      </c>
      <c r="J60" s="79">
        <f t="shared" si="8"/>
        <v>359790.32692307694</v>
      </c>
      <c r="K60" s="66"/>
    </row>
    <row r="61" spans="1:11" ht="15.75" customHeight="1" x14ac:dyDescent="0.2">
      <c r="A61" s="75"/>
      <c r="B61" s="77" t="s">
        <v>179</v>
      </c>
      <c r="C61" s="77" t="s">
        <v>179</v>
      </c>
      <c r="D61" s="78"/>
      <c r="E61" s="79"/>
      <c r="F61" s="79"/>
      <c r="G61" s="78"/>
      <c r="H61" s="79"/>
      <c r="I61" s="79"/>
      <c r="J61" s="79"/>
      <c r="K61" s="66"/>
    </row>
    <row r="62" spans="1:11" ht="15.75" hidden="1" customHeight="1" x14ac:dyDescent="0.2">
      <c r="A62" s="75">
        <v>1</v>
      </c>
      <c r="B62" s="80" t="s">
        <v>181</v>
      </c>
      <c r="C62" s="80" t="s">
        <v>182</v>
      </c>
      <c r="D62" s="78"/>
      <c r="E62" s="79"/>
      <c r="F62" s="79"/>
      <c r="G62" s="78"/>
      <c r="H62" s="78"/>
      <c r="I62" s="78"/>
      <c r="J62" s="79">
        <f>J43+J45</f>
        <v>798896.15384615387</v>
      </c>
      <c r="K62" s="66"/>
    </row>
    <row r="63" spans="1:11" ht="15.75" hidden="1" customHeight="1" x14ac:dyDescent="0.2">
      <c r="A63" s="75">
        <v>2</v>
      </c>
      <c r="B63" s="80" t="s">
        <v>183</v>
      </c>
      <c r="C63" s="80" t="s">
        <v>184</v>
      </c>
      <c r="D63" s="78"/>
      <c r="E63" s="79"/>
      <c r="F63" s="79"/>
      <c r="G63" s="78"/>
      <c r="H63" s="78"/>
      <c r="I63" s="78"/>
      <c r="J63" s="79">
        <f>J44+J48</f>
        <v>1008000.6538461538</v>
      </c>
      <c r="K63" s="66"/>
    </row>
    <row r="64" spans="1:11" ht="20.25" hidden="1" customHeight="1" x14ac:dyDescent="0.2">
      <c r="A64" s="75">
        <v>3</v>
      </c>
      <c r="B64" s="80" t="s">
        <v>185</v>
      </c>
      <c r="C64" s="80" t="s">
        <v>186</v>
      </c>
      <c r="D64" s="78"/>
      <c r="E64" s="79"/>
      <c r="F64" s="79"/>
      <c r="G64" s="78"/>
      <c r="H64" s="78"/>
      <c r="I64" s="78"/>
      <c r="J64" s="79">
        <f>J45+J47</f>
        <v>957527.15384615387</v>
      </c>
      <c r="K64" s="66"/>
    </row>
    <row r="65" spans="1:26" ht="15.75" hidden="1" customHeight="1" x14ac:dyDescent="0.2">
      <c r="A65" s="75">
        <v>4</v>
      </c>
      <c r="B65" s="80" t="s">
        <v>187</v>
      </c>
      <c r="C65" s="80" t="s">
        <v>188</v>
      </c>
      <c r="D65" s="78"/>
      <c r="E65" s="79"/>
      <c r="F65" s="79"/>
      <c r="G65" s="78"/>
      <c r="H65" s="78"/>
      <c r="I65" s="78"/>
      <c r="J65" s="79">
        <f>J44*2</f>
        <v>798896.15384615387</v>
      </c>
      <c r="K65" s="66"/>
    </row>
    <row r="66" spans="1:26" s="86" customFormat="1" ht="15.75" customHeight="1" x14ac:dyDescent="0.2">
      <c r="A66" s="81">
        <v>5</v>
      </c>
      <c r="B66" s="82" t="s">
        <v>189</v>
      </c>
      <c r="C66" s="82" t="s">
        <v>190</v>
      </c>
      <c r="D66" s="83"/>
      <c r="E66" s="84"/>
      <c r="F66" s="84"/>
      <c r="G66" s="83"/>
      <c r="H66" s="83"/>
      <c r="I66" s="83"/>
      <c r="J66" s="84">
        <f>J57</f>
        <v>399448.07692307694</v>
      </c>
      <c r="K66" s="85"/>
    </row>
    <row r="67" spans="1:26" s="86" customFormat="1" ht="15.75" customHeight="1" x14ac:dyDescent="0.2">
      <c r="A67" s="81">
        <v>6</v>
      </c>
      <c r="B67" s="82" t="s">
        <v>191</v>
      </c>
      <c r="C67" s="82" t="s">
        <v>212</v>
      </c>
      <c r="D67" s="83"/>
      <c r="E67" s="84"/>
      <c r="F67" s="84"/>
      <c r="G67" s="83"/>
      <c r="H67" s="83"/>
      <c r="I67" s="83"/>
      <c r="J67" s="84">
        <f>J44+J45</f>
        <v>838553.90384615387</v>
      </c>
      <c r="K67" s="85"/>
    </row>
    <row r="68" spans="1:26" ht="15.75" hidden="1" customHeight="1" x14ac:dyDescent="0.2">
      <c r="A68" s="75">
        <v>7</v>
      </c>
      <c r="B68" s="80" t="s">
        <v>192</v>
      </c>
      <c r="C68" s="80" t="s">
        <v>188</v>
      </c>
      <c r="D68" s="78"/>
      <c r="E68" s="79"/>
      <c r="F68" s="79"/>
      <c r="G68" s="78"/>
      <c r="H68" s="78"/>
      <c r="I68" s="78"/>
      <c r="J68" s="79">
        <f>2*J44</f>
        <v>798896.15384615387</v>
      </c>
      <c r="K68" s="66"/>
    </row>
    <row r="69" spans="1:26" ht="15.75" hidden="1" customHeight="1" x14ac:dyDescent="0.2">
      <c r="A69" s="75">
        <v>8</v>
      </c>
      <c r="B69" s="80" t="s">
        <v>193</v>
      </c>
      <c r="C69" s="80" t="s">
        <v>194</v>
      </c>
      <c r="D69" s="78"/>
      <c r="E69" s="79"/>
      <c r="F69" s="79"/>
      <c r="G69" s="78"/>
      <c r="H69" s="78"/>
      <c r="I69" s="78"/>
      <c r="J69" s="79">
        <f>J45+J47+J49</f>
        <v>1525220.2307692308</v>
      </c>
      <c r="K69" s="66"/>
    </row>
    <row r="70" spans="1:26" ht="15.75" hidden="1" customHeight="1" x14ac:dyDescent="0.2">
      <c r="A70" s="75">
        <v>9</v>
      </c>
      <c r="B70" s="80" t="s">
        <v>195</v>
      </c>
      <c r="C70" s="80" t="s">
        <v>196</v>
      </c>
      <c r="D70" s="78"/>
      <c r="E70" s="79"/>
      <c r="F70" s="79"/>
      <c r="G70" s="78"/>
      <c r="H70" s="78"/>
      <c r="I70" s="78"/>
      <c r="J70" s="79">
        <f>3*J44</f>
        <v>1198344.2307692308</v>
      </c>
      <c r="K70" s="66"/>
    </row>
    <row r="71" spans="1:26" ht="15.75" hidden="1" customHeight="1" x14ac:dyDescent="0.2">
      <c r="A71" s="75">
        <v>10</v>
      </c>
      <c r="B71" s="80" t="s">
        <v>197</v>
      </c>
      <c r="C71" s="80" t="s">
        <v>198</v>
      </c>
      <c r="D71" s="78"/>
      <c r="E71" s="79"/>
      <c r="F71" s="79"/>
      <c r="G71" s="78"/>
      <c r="H71" s="78"/>
      <c r="I71" s="78"/>
      <c r="J71" s="79">
        <f>3*J46</f>
        <v>1436290.7307692308</v>
      </c>
      <c r="K71" s="66"/>
    </row>
    <row r="72" spans="1:26" ht="15.75" hidden="1" customHeight="1" x14ac:dyDescent="0.2">
      <c r="A72" s="75">
        <v>11</v>
      </c>
      <c r="B72" s="80" t="s">
        <v>200</v>
      </c>
      <c r="C72" s="80" t="s">
        <v>201</v>
      </c>
      <c r="D72" s="78"/>
      <c r="E72" s="79"/>
      <c r="F72" s="79"/>
      <c r="G72" s="78"/>
      <c r="H72" s="78"/>
      <c r="I72" s="78"/>
      <c r="J72" s="79">
        <f>4*J44</f>
        <v>1597792.3076923077</v>
      </c>
      <c r="K72" s="66"/>
    </row>
    <row r="73" spans="1:26" ht="15.75" hidden="1" customHeight="1" x14ac:dyDescent="0.2">
      <c r="A73" s="75">
        <v>12</v>
      </c>
      <c r="B73" s="80" t="s">
        <v>202</v>
      </c>
      <c r="C73" s="80" t="s">
        <v>201</v>
      </c>
      <c r="D73" s="78"/>
      <c r="E73" s="79"/>
      <c r="F73" s="79"/>
      <c r="G73" s="78"/>
      <c r="H73" s="78"/>
      <c r="I73" s="78"/>
      <c r="J73" s="79">
        <f>4*J44</f>
        <v>1597792.3076923077</v>
      </c>
      <c r="K73" s="66"/>
    </row>
    <row r="74" spans="1:26" ht="14.25" hidden="1" customHeight="1" x14ac:dyDescent="0.25">
      <c r="A74" s="75">
        <v>13</v>
      </c>
      <c r="B74" s="87" t="s">
        <v>203</v>
      </c>
      <c r="C74" s="80" t="s">
        <v>201</v>
      </c>
      <c r="D74" s="78"/>
      <c r="E74" s="79"/>
      <c r="F74" s="79"/>
      <c r="G74" s="78"/>
      <c r="H74" s="78"/>
      <c r="I74" s="78"/>
      <c r="J74" s="79">
        <f>J73</f>
        <v>1597792.3076923077</v>
      </c>
      <c r="K74" s="66"/>
    </row>
    <row r="75" spans="1:26" ht="15.75" hidden="1" customHeight="1" x14ac:dyDescent="0.25">
      <c r="A75" s="75">
        <v>14</v>
      </c>
      <c r="B75" s="95"/>
      <c r="C75" s="80" t="s">
        <v>205</v>
      </c>
      <c r="D75" s="96"/>
      <c r="E75" s="97"/>
      <c r="F75" s="97"/>
      <c r="G75" s="98"/>
      <c r="H75" s="96"/>
      <c r="I75" s="96"/>
      <c r="J75" s="99">
        <f>J44*2+J50</f>
        <v>1149072.4807692308</v>
      </c>
      <c r="K75" s="100"/>
      <c r="L75" s="100"/>
      <c r="M75" s="101"/>
      <c r="N75" s="101"/>
      <c r="O75" s="101"/>
      <c r="P75" s="101"/>
      <c r="Q75" s="101"/>
      <c r="R75" s="101"/>
      <c r="S75" s="101"/>
      <c r="T75" s="101"/>
      <c r="U75" s="101"/>
      <c r="V75" s="101"/>
      <c r="W75" s="101"/>
      <c r="X75" s="101"/>
      <c r="Y75" s="101"/>
      <c r="Z75" s="101"/>
    </row>
    <row r="76" spans="1:26" ht="15.75" hidden="1" customHeight="1" x14ac:dyDescent="0.25">
      <c r="A76" s="75">
        <v>15</v>
      </c>
      <c r="B76" s="95"/>
      <c r="C76" s="80" t="s">
        <v>206</v>
      </c>
      <c r="D76" s="96"/>
      <c r="E76" s="97"/>
      <c r="F76" s="97"/>
      <c r="G76" s="98"/>
      <c r="H76" s="96"/>
      <c r="I76" s="96"/>
      <c r="J76" s="99">
        <f>J44*3+J50</f>
        <v>1548520.5576923077</v>
      </c>
      <c r="K76" s="100"/>
      <c r="L76" s="100"/>
      <c r="M76" s="101"/>
      <c r="N76" s="101"/>
      <c r="O76" s="101"/>
      <c r="P76" s="101"/>
      <c r="Q76" s="101"/>
      <c r="R76" s="101"/>
      <c r="S76" s="101"/>
      <c r="T76" s="101"/>
      <c r="U76" s="101"/>
      <c r="V76" s="101"/>
      <c r="W76" s="101"/>
      <c r="X76" s="101"/>
      <c r="Y76" s="101"/>
      <c r="Z76" s="101"/>
    </row>
    <row r="77" spans="1:26" ht="15.75" customHeight="1" x14ac:dyDescent="0.2">
      <c r="A77" s="75"/>
      <c r="B77" s="102" t="s">
        <v>207</v>
      </c>
      <c r="C77" s="78"/>
      <c r="D77" s="78"/>
      <c r="E77" s="79"/>
      <c r="F77" s="79"/>
      <c r="G77" s="79"/>
      <c r="H77" s="78"/>
      <c r="I77" s="78"/>
      <c r="J77" s="78"/>
      <c r="K77" s="66"/>
      <c r="L77" s="66"/>
    </row>
    <row r="78" spans="1:26" ht="15.75" customHeight="1" x14ac:dyDescent="0.25">
      <c r="A78" s="75"/>
      <c r="B78" s="102" t="s">
        <v>208</v>
      </c>
      <c r="C78" s="102" t="s">
        <v>209</v>
      </c>
      <c r="D78" s="103">
        <v>2.67</v>
      </c>
      <c r="E78" s="79">
        <f>D78*$D$2</f>
        <v>6755100</v>
      </c>
      <c r="F78" s="104"/>
      <c r="G78" s="105">
        <f>0.2*$D$2</f>
        <v>506000</v>
      </c>
      <c r="H78" s="106">
        <f>23.5%*E78</f>
        <v>1587448.5</v>
      </c>
      <c r="I78" s="106">
        <f>SUM(E78:H78)</f>
        <v>8848548.5</v>
      </c>
      <c r="J78" s="107">
        <f>ROUND(I78/26,0)</f>
        <v>340329</v>
      </c>
      <c r="K78" s="66"/>
      <c r="L78" s="66"/>
    </row>
    <row r="79" spans="1:26" ht="15.75" customHeight="1" x14ac:dyDescent="0.25">
      <c r="A79" s="75"/>
      <c r="B79" s="102" t="s">
        <v>210</v>
      </c>
      <c r="C79" s="102" t="s">
        <v>190</v>
      </c>
      <c r="D79" s="103">
        <v>3</v>
      </c>
      <c r="E79" s="79">
        <f>D79*$D$2</f>
        <v>7590000</v>
      </c>
      <c r="F79" s="104"/>
      <c r="G79" s="105">
        <f>0.2*$D$2</f>
        <v>506000</v>
      </c>
      <c r="H79" s="106">
        <f>23.5%*E79</f>
        <v>1783650</v>
      </c>
      <c r="I79" s="106">
        <f>SUM(E79:H79)</f>
        <v>9879650</v>
      </c>
      <c r="J79" s="107">
        <f>ROUND(I79/26,0)</f>
        <v>379987</v>
      </c>
      <c r="K79" s="66"/>
      <c r="L79" s="66"/>
    </row>
    <row r="80" spans="1:26" ht="15.75" customHeight="1" x14ac:dyDescent="0.25">
      <c r="A80" s="319" t="s">
        <v>211</v>
      </c>
      <c r="B80" s="318"/>
      <c r="C80" s="318"/>
      <c r="D80" s="318"/>
      <c r="E80" s="318"/>
      <c r="F80" s="318"/>
      <c r="G80" s="318"/>
      <c r="H80" s="318"/>
      <c r="I80" s="318"/>
      <c r="J80" s="66"/>
      <c r="K80" s="66"/>
      <c r="L80" s="66"/>
    </row>
    <row r="81" spans="1:12" ht="15.75" customHeight="1" x14ac:dyDescent="0.2">
      <c r="A81" s="68"/>
      <c r="B81" s="66"/>
      <c r="C81" s="66"/>
      <c r="D81" s="66"/>
      <c r="E81" s="70"/>
      <c r="F81" s="70"/>
      <c r="G81" s="70"/>
      <c r="H81" s="66"/>
      <c r="I81" s="66"/>
      <c r="J81" s="66"/>
      <c r="K81" s="66"/>
      <c r="L81" s="66"/>
    </row>
    <row r="82" spans="1:12" ht="15.75" customHeight="1" x14ac:dyDescent="0.2">
      <c r="A82" s="68"/>
      <c r="B82" s="66"/>
      <c r="C82" s="66"/>
      <c r="D82" s="66"/>
      <c r="E82" s="70"/>
      <c r="F82" s="70"/>
      <c r="G82" s="70"/>
      <c r="H82" s="66"/>
      <c r="I82" s="66"/>
      <c r="J82" s="66"/>
      <c r="K82" s="66"/>
      <c r="L82" s="66"/>
    </row>
    <row r="83" spans="1:12" ht="15.75" customHeight="1" x14ac:dyDescent="0.2">
      <c r="A83" s="68"/>
      <c r="B83" s="66"/>
      <c r="C83" s="66"/>
      <c r="D83" s="66"/>
      <c r="E83" s="70"/>
      <c r="F83" s="70"/>
      <c r="G83" s="70"/>
      <c r="H83" s="66"/>
      <c r="I83" s="66"/>
      <c r="J83" s="66"/>
      <c r="K83" s="66"/>
      <c r="L83" s="66"/>
    </row>
    <row r="84" spans="1:12" ht="15.75" customHeight="1" x14ac:dyDescent="0.2">
      <c r="A84" s="68"/>
      <c r="B84" s="66"/>
      <c r="C84" s="66"/>
      <c r="D84" s="66"/>
      <c r="E84" s="70"/>
      <c r="F84" s="70"/>
      <c r="G84" s="70"/>
      <c r="H84" s="66"/>
      <c r="I84" s="66"/>
      <c r="J84" s="66"/>
      <c r="K84" s="66"/>
      <c r="L84" s="66"/>
    </row>
    <row r="85" spans="1:12" ht="15.75" customHeight="1" x14ac:dyDescent="0.2">
      <c r="A85" s="68"/>
      <c r="B85" s="66"/>
      <c r="C85" s="66"/>
      <c r="D85" s="66"/>
      <c r="E85" s="70"/>
      <c r="F85" s="70"/>
      <c r="G85" s="70"/>
      <c r="H85" s="66"/>
      <c r="I85" s="66"/>
      <c r="J85" s="66"/>
      <c r="K85" s="66"/>
      <c r="L85" s="66"/>
    </row>
    <row r="86" spans="1:12" ht="15.75" customHeight="1" x14ac:dyDescent="0.2">
      <c r="A86" s="68"/>
      <c r="B86" s="66"/>
      <c r="C86" s="66"/>
      <c r="D86" s="66"/>
      <c r="E86" s="70"/>
      <c r="F86" s="70"/>
      <c r="G86" s="70"/>
      <c r="H86" s="66"/>
      <c r="I86" s="66"/>
      <c r="J86" s="66"/>
      <c r="K86" s="66"/>
      <c r="L86" s="66"/>
    </row>
    <row r="87" spans="1:12" ht="15.75" customHeight="1" x14ac:dyDescent="0.2">
      <c r="A87" s="68"/>
      <c r="B87" s="66"/>
      <c r="C87" s="66"/>
      <c r="D87" s="66"/>
      <c r="E87" s="70"/>
      <c r="F87" s="70"/>
      <c r="G87" s="70"/>
      <c r="H87" s="66"/>
      <c r="I87" s="66"/>
      <c r="J87" s="66"/>
      <c r="K87" s="66"/>
      <c r="L87" s="66"/>
    </row>
    <row r="88" spans="1:12" ht="15.75" customHeight="1" x14ac:dyDescent="0.2">
      <c r="A88" s="68"/>
      <c r="B88" s="66"/>
      <c r="C88" s="66"/>
      <c r="D88" s="66"/>
      <c r="E88" s="70"/>
      <c r="F88" s="70"/>
      <c r="G88" s="70"/>
      <c r="H88" s="66"/>
      <c r="I88" s="66"/>
      <c r="J88" s="66"/>
      <c r="K88" s="66"/>
      <c r="L88" s="66"/>
    </row>
    <row r="89" spans="1:12" ht="15.75" customHeight="1" x14ac:dyDescent="0.2">
      <c r="A89" s="68"/>
      <c r="B89" s="66"/>
      <c r="C89" s="66"/>
      <c r="D89" s="66"/>
      <c r="E89" s="70"/>
      <c r="F89" s="70"/>
      <c r="G89" s="70"/>
      <c r="H89" s="66"/>
      <c r="I89" s="66"/>
      <c r="J89" s="66"/>
      <c r="K89" s="66"/>
      <c r="L89" s="66"/>
    </row>
    <row r="90" spans="1:12" ht="15.75" customHeight="1" x14ac:dyDescent="0.2">
      <c r="A90" s="68"/>
      <c r="B90" s="66"/>
      <c r="C90" s="66"/>
      <c r="D90" s="66"/>
      <c r="E90" s="70"/>
      <c r="F90" s="70"/>
      <c r="G90" s="70"/>
      <c r="H90" s="66"/>
      <c r="I90" s="66"/>
      <c r="J90" s="66"/>
      <c r="K90" s="66"/>
      <c r="L90" s="66"/>
    </row>
    <row r="91" spans="1:12" ht="15.75" customHeight="1" x14ac:dyDescent="0.2">
      <c r="A91" s="68"/>
      <c r="B91" s="66"/>
      <c r="C91" s="66"/>
      <c r="D91" s="66"/>
      <c r="E91" s="70"/>
      <c r="F91" s="70"/>
      <c r="G91" s="70"/>
      <c r="H91" s="66"/>
      <c r="I91" s="66"/>
      <c r="J91" s="66"/>
      <c r="K91" s="66"/>
      <c r="L91" s="66"/>
    </row>
    <row r="92" spans="1:12" ht="15.75" customHeight="1" x14ac:dyDescent="0.2">
      <c r="A92" s="68"/>
      <c r="B92" s="66"/>
      <c r="C92" s="66"/>
      <c r="D92" s="66"/>
      <c r="E92" s="70"/>
      <c r="F92" s="70"/>
      <c r="G92" s="70"/>
      <c r="H92" s="66"/>
      <c r="I92" s="66"/>
      <c r="J92" s="66"/>
      <c r="K92" s="66"/>
      <c r="L92" s="66"/>
    </row>
    <row r="93" spans="1:12" ht="15.75" customHeight="1" x14ac:dyDescent="0.2">
      <c r="A93" s="68"/>
      <c r="B93" s="66"/>
      <c r="C93" s="66"/>
      <c r="D93" s="66"/>
      <c r="E93" s="70"/>
      <c r="F93" s="70"/>
      <c r="G93" s="70"/>
      <c r="H93" s="66"/>
      <c r="I93" s="66"/>
      <c r="J93" s="66"/>
      <c r="K93" s="66"/>
      <c r="L93" s="66"/>
    </row>
    <row r="94" spans="1:12" ht="15.75" customHeight="1" x14ac:dyDescent="0.2">
      <c r="A94" s="68"/>
      <c r="B94" s="66"/>
      <c r="C94" s="66"/>
      <c r="D94" s="66"/>
      <c r="E94" s="70"/>
      <c r="F94" s="70"/>
      <c r="G94" s="70"/>
      <c r="H94" s="66"/>
      <c r="I94" s="66"/>
      <c r="J94" s="66"/>
      <c r="K94" s="66"/>
      <c r="L94" s="66"/>
    </row>
    <row r="95" spans="1:12" ht="15.75" customHeight="1" x14ac:dyDescent="0.2">
      <c r="A95" s="68"/>
      <c r="B95" s="66"/>
      <c r="C95" s="66"/>
      <c r="D95" s="66"/>
      <c r="E95" s="70"/>
      <c r="F95" s="70"/>
      <c r="G95" s="70"/>
      <c r="H95" s="66"/>
      <c r="I95" s="66"/>
      <c r="J95" s="66"/>
      <c r="K95" s="66"/>
      <c r="L95" s="66"/>
    </row>
    <row r="96" spans="1:12" ht="15.75" customHeight="1" x14ac:dyDescent="0.2">
      <c r="A96" s="68"/>
      <c r="B96" s="66"/>
      <c r="C96" s="66"/>
      <c r="D96" s="66"/>
      <c r="E96" s="70"/>
      <c r="F96" s="70"/>
      <c r="G96" s="70"/>
      <c r="H96" s="66"/>
      <c r="I96" s="66"/>
      <c r="J96" s="66"/>
      <c r="K96" s="66"/>
      <c r="L96" s="66"/>
    </row>
    <row r="97" spans="1:12" ht="15.75" customHeight="1" x14ac:dyDescent="0.2">
      <c r="A97" s="68"/>
      <c r="B97" s="66"/>
      <c r="C97" s="66"/>
      <c r="D97" s="66"/>
      <c r="E97" s="70"/>
      <c r="F97" s="70"/>
      <c r="G97" s="70"/>
      <c r="H97" s="66"/>
      <c r="I97" s="66"/>
      <c r="J97" s="66"/>
      <c r="K97" s="66"/>
      <c r="L97" s="66"/>
    </row>
    <row r="98" spans="1:12" ht="15.75" customHeight="1" x14ac:dyDescent="0.2">
      <c r="A98" s="68"/>
      <c r="B98" s="66"/>
      <c r="C98" s="66"/>
      <c r="D98" s="66"/>
      <c r="E98" s="70"/>
      <c r="F98" s="70"/>
      <c r="G98" s="70"/>
      <c r="H98" s="66"/>
      <c r="I98" s="66"/>
      <c r="J98" s="66"/>
      <c r="K98" s="66"/>
      <c r="L98" s="66"/>
    </row>
    <row r="99" spans="1:12" ht="15.75" customHeight="1" x14ac:dyDescent="0.2">
      <c r="A99" s="68"/>
      <c r="B99" s="66"/>
      <c r="C99" s="66"/>
      <c r="D99" s="66"/>
      <c r="E99" s="70"/>
      <c r="F99" s="70"/>
      <c r="G99" s="70"/>
      <c r="H99" s="66"/>
      <c r="I99" s="66"/>
      <c r="J99" s="66"/>
      <c r="K99" s="66"/>
      <c r="L99" s="66"/>
    </row>
    <row r="100" spans="1:12" ht="15.75" customHeight="1" x14ac:dyDescent="0.2">
      <c r="A100" s="68"/>
      <c r="B100" s="66"/>
      <c r="C100" s="66"/>
      <c r="D100" s="66"/>
      <c r="E100" s="70"/>
      <c r="F100" s="70"/>
      <c r="G100" s="70"/>
      <c r="H100" s="66"/>
      <c r="I100" s="66"/>
      <c r="J100" s="66"/>
      <c r="K100" s="66"/>
      <c r="L100" s="66"/>
    </row>
    <row r="101" spans="1:12" ht="15.75" customHeight="1" x14ac:dyDescent="0.2">
      <c r="A101" s="68"/>
      <c r="B101" s="66"/>
      <c r="C101" s="66"/>
      <c r="D101" s="66"/>
      <c r="E101" s="70"/>
      <c r="F101" s="70"/>
      <c r="G101" s="70"/>
      <c r="H101" s="66"/>
      <c r="I101" s="66"/>
      <c r="J101" s="66"/>
      <c r="K101" s="66"/>
      <c r="L101" s="66"/>
    </row>
    <row r="102" spans="1:12" ht="15.75" customHeight="1" x14ac:dyDescent="0.2">
      <c r="A102" s="68"/>
      <c r="B102" s="66"/>
      <c r="C102" s="66"/>
      <c r="D102" s="66"/>
      <c r="E102" s="70"/>
      <c r="F102" s="70"/>
      <c r="G102" s="70"/>
      <c r="H102" s="66"/>
      <c r="I102" s="66"/>
      <c r="J102" s="66"/>
      <c r="K102" s="66"/>
      <c r="L102" s="66"/>
    </row>
    <row r="103" spans="1:12" ht="15.75" customHeight="1" x14ac:dyDescent="0.2">
      <c r="A103" s="68"/>
      <c r="B103" s="66"/>
      <c r="C103" s="66"/>
      <c r="D103" s="66"/>
      <c r="E103" s="70"/>
      <c r="F103" s="70"/>
      <c r="G103" s="70"/>
      <c r="H103" s="66"/>
      <c r="I103" s="66"/>
      <c r="J103" s="66"/>
      <c r="K103" s="66"/>
      <c r="L103" s="66"/>
    </row>
    <row r="104" spans="1:12" ht="15.75" customHeight="1" x14ac:dyDescent="0.2">
      <c r="A104" s="68"/>
      <c r="B104" s="66"/>
      <c r="C104" s="66"/>
      <c r="D104" s="66"/>
      <c r="E104" s="70"/>
      <c r="F104" s="70"/>
      <c r="G104" s="70"/>
      <c r="H104" s="66"/>
      <c r="I104" s="66"/>
      <c r="J104" s="66"/>
      <c r="K104" s="66"/>
      <c r="L104" s="66"/>
    </row>
    <row r="105" spans="1:12" ht="15.75" customHeight="1" x14ac:dyDescent="0.2">
      <c r="A105" s="68"/>
      <c r="B105" s="66"/>
      <c r="C105" s="66"/>
      <c r="D105" s="66"/>
      <c r="E105" s="70"/>
      <c r="F105" s="70"/>
      <c r="G105" s="70"/>
      <c r="H105" s="66"/>
      <c r="I105" s="66"/>
      <c r="J105" s="66"/>
      <c r="K105" s="66"/>
      <c r="L105" s="66"/>
    </row>
    <row r="106" spans="1:12" ht="15.75" customHeight="1" x14ac:dyDescent="0.2">
      <c r="A106" s="68"/>
      <c r="B106" s="66"/>
      <c r="C106" s="66"/>
      <c r="D106" s="66"/>
      <c r="E106" s="70"/>
      <c r="F106" s="70"/>
      <c r="G106" s="70"/>
      <c r="H106" s="66"/>
      <c r="I106" s="66"/>
      <c r="J106" s="66"/>
      <c r="K106" s="66"/>
      <c r="L106" s="66"/>
    </row>
    <row r="107" spans="1:12" ht="15.75" customHeight="1" x14ac:dyDescent="0.2">
      <c r="A107" s="68"/>
      <c r="B107" s="66"/>
      <c r="C107" s="66"/>
      <c r="D107" s="66"/>
      <c r="E107" s="70"/>
      <c r="F107" s="70"/>
      <c r="G107" s="70"/>
      <c r="H107" s="66"/>
      <c r="I107" s="66"/>
      <c r="J107" s="66"/>
      <c r="K107" s="66"/>
      <c r="L107" s="66"/>
    </row>
    <row r="108" spans="1:12" ht="15.75" customHeight="1" x14ac:dyDescent="0.2">
      <c r="A108" s="68"/>
      <c r="B108" s="66"/>
      <c r="C108" s="66"/>
      <c r="D108" s="66"/>
      <c r="E108" s="70"/>
      <c r="F108" s="70"/>
      <c r="G108" s="70"/>
      <c r="H108" s="66"/>
      <c r="I108" s="66"/>
      <c r="J108" s="66"/>
      <c r="K108" s="66"/>
      <c r="L108" s="66"/>
    </row>
    <row r="109" spans="1:12" ht="15.75" customHeight="1" x14ac:dyDescent="0.2">
      <c r="A109" s="68"/>
      <c r="B109" s="66"/>
      <c r="C109" s="66"/>
      <c r="D109" s="66"/>
      <c r="E109" s="70"/>
      <c r="F109" s="70"/>
      <c r="G109" s="70"/>
      <c r="H109" s="66"/>
      <c r="I109" s="66"/>
      <c r="J109" s="66"/>
      <c r="K109" s="66"/>
      <c r="L109" s="66"/>
    </row>
    <row r="110" spans="1:12" ht="15.75" customHeight="1" x14ac:dyDescent="0.2">
      <c r="A110" s="68"/>
      <c r="B110" s="66"/>
      <c r="C110" s="66"/>
      <c r="D110" s="66"/>
      <c r="E110" s="70"/>
      <c r="F110" s="70"/>
      <c r="G110" s="70"/>
      <c r="H110" s="66"/>
      <c r="I110" s="66"/>
      <c r="J110" s="66"/>
      <c r="K110" s="66"/>
      <c r="L110" s="66"/>
    </row>
    <row r="111" spans="1:12" ht="15.75" customHeight="1" x14ac:dyDescent="0.2">
      <c r="A111" s="68"/>
      <c r="B111" s="66"/>
      <c r="C111" s="66"/>
      <c r="D111" s="66"/>
      <c r="E111" s="70"/>
      <c r="F111" s="70"/>
      <c r="G111" s="70"/>
      <c r="H111" s="66"/>
      <c r="I111" s="66"/>
      <c r="J111" s="66"/>
      <c r="K111" s="66"/>
      <c r="L111" s="66"/>
    </row>
    <row r="112" spans="1:12" ht="15.75" customHeight="1" x14ac:dyDescent="0.2">
      <c r="A112" s="68"/>
      <c r="B112" s="66"/>
      <c r="C112" s="66"/>
      <c r="D112" s="66"/>
      <c r="E112" s="70"/>
      <c r="F112" s="70"/>
      <c r="G112" s="70"/>
      <c r="H112" s="66"/>
      <c r="I112" s="66"/>
      <c r="J112" s="66"/>
      <c r="K112" s="66"/>
      <c r="L112" s="66"/>
    </row>
    <row r="113" spans="1:12" ht="15.75" customHeight="1" x14ac:dyDescent="0.2">
      <c r="A113" s="68"/>
      <c r="B113" s="66"/>
      <c r="C113" s="66"/>
      <c r="D113" s="66"/>
      <c r="E113" s="70"/>
      <c r="F113" s="70"/>
      <c r="G113" s="70"/>
      <c r="H113" s="66"/>
      <c r="I113" s="66"/>
      <c r="J113" s="66"/>
      <c r="K113" s="66"/>
      <c r="L113" s="66"/>
    </row>
    <row r="114" spans="1:12" ht="15.75" customHeight="1" x14ac:dyDescent="0.2">
      <c r="A114" s="68"/>
      <c r="B114" s="66"/>
      <c r="C114" s="66"/>
      <c r="D114" s="66"/>
      <c r="E114" s="70"/>
      <c r="F114" s="70"/>
      <c r="G114" s="70"/>
      <c r="H114" s="66"/>
      <c r="I114" s="66"/>
      <c r="J114" s="66"/>
      <c r="K114" s="66"/>
      <c r="L114" s="66"/>
    </row>
    <row r="115" spans="1:12" ht="15.75" customHeight="1" x14ac:dyDescent="0.2">
      <c r="A115" s="68"/>
      <c r="B115" s="66"/>
      <c r="C115" s="66"/>
      <c r="D115" s="66"/>
      <c r="E115" s="70"/>
      <c r="F115" s="70"/>
      <c r="G115" s="70"/>
      <c r="H115" s="66"/>
      <c r="I115" s="66"/>
      <c r="J115" s="66"/>
      <c r="K115" s="66"/>
      <c r="L115" s="66"/>
    </row>
    <row r="116" spans="1:12" ht="15.75" customHeight="1" x14ac:dyDescent="0.2">
      <c r="A116" s="68"/>
      <c r="B116" s="66"/>
      <c r="C116" s="66"/>
      <c r="D116" s="66"/>
      <c r="E116" s="70"/>
      <c r="F116" s="70"/>
      <c r="G116" s="70"/>
      <c r="H116" s="66"/>
      <c r="I116" s="66"/>
      <c r="J116" s="66"/>
      <c r="K116" s="66"/>
      <c r="L116" s="66"/>
    </row>
    <row r="117" spans="1:12" ht="15.75" customHeight="1" x14ac:dyDescent="0.2">
      <c r="A117" s="68"/>
      <c r="B117" s="66"/>
      <c r="C117" s="66"/>
      <c r="D117" s="66"/>
      <c r="E117" s="70"/>
      <c r="F117" s="70"/>
      <c r="G117" s="70"/>
      <c r="H117" s="66"/>
      <c r="I117" s="66"/>
      <c r="J117" s="66"/>
      <c r="K117" s="66"/>
      <c r="L117" s="66"/>
    </row>
    <row r="118" spans="1:12" ht="15.75" customHeight="1" x14ac:dyDescent="0.2">
      <c r="A118" s="68"/>
      <c r="B118" s="66"/>
      <c r="C118" s="66"/>
      <c r="D118" s="66"/>
      <c r="E118" s="70"/>
      <c r="F118" s="70"/>
      <c r="G118" s="70"/>
      <c r="H118" s="66"/>
      <c r="I118" s="66"/>
      <c r="J118" s="66"/>
      <c r="K118" s="66"/>
      <c r="L118" s="66"/>
    </row>
    <row r="119" spans="1:12" ht="15.75" customHeight="1" x14ac:dyDescent="0.2">
      <c r="A119" s="68"/>
      <c r="B119" s="66"/>
      <c r="C119" s="66"/>
      <c r="D119" s="66"/>
      <c r="E119" s="70"/>
      <c r="F119" s="70"/>
      <c r="G119" s="70"/>
      <c r="H119" s="66"/>
      <c r="I119" s="66"/>
      <c r="J119" s="66"/>
      <c r="K119" s="66"/>
      <c r="L119" s="66"/>
    </row>
    <row r="120" spans="1:12" ht="15.75" customHeight="1" x14ac:dyDescent="0.2">
      <c r="A120" s="68"/>
      <c r="B120" s="66"/>
      <c r="C120" s="66"/>
      <c r="D120" s="66"/>
      <c r="E120" s="70"/>
      <c r="F120" s="70"/>
      <c r="G120" s="70"/>
      <c r="H120" s="66"/>
      <c r="I120" s="66"/>
      <c r="J120" s="66"/>
      <c r="K120" s="66"/>
      <c r="L120" s="66"/>
    </row>
    <row r="121" spans="1:12" ht="15.75" customHeight="1" x14ac:dyDescent="0.2">
      <c r="A121" s="68"/>
      <c r="B121" s="66"/>
      <c r="C121" s="66"/>
      <c r="D121" s="66"/>
      <c r="E121" s="70"/>
      <c r="F121" s="70"/>
      <c r="G121" s="70"/>
      <c r="H121" s="66"/>
      <c r="I121" s="66"/>
      <c r="J121" s="66"/>
      <c r="K121" s="66"/>
      <c r="L121" s="66"/>
    </row>
    <row r="122" spans="1:12" ht="15.75" customHeight="1" x14ac:dyDescent="0.2">
      <c r="A122" s="68"/>
      <c r="B122" s="66"/>
      <c r="C122" s="66"/>
      <c r="D122" s="66"/>
      <c r="E122" s="70"/>
      <c r="F122" s="70"/>
      <c r="G122" s="70"/>
      <c r="H122" s="66"/>
      <c r="I122" s="66"/>
      <c r="J122" s="66"/>
      <c r="K122" s="66"/>
      <c r="L122" s="66"/>
    </row>
    <row r="123" spans="1:12" ht="15.75" customHeight="1" x14ac:dyDescent="0.2">
      <c r="A123" s="68"/>
      <c r="B123" s="66"/>
      <c r="C123" s="66"/>
      <c r="D123" s="66"/>
      <c r="E123" s="70"/>
      <c r="F123" s="70"/>
      <c r="G123" s="70"/>
      <c r="H123" s="66"/>
      <c r="I123" s="66"/>
      <c r="J123" s="66"/>
      <c r="K123" s="66"/>
      <c r="L123" s="66"/>
    </row>
    <row r="124" spans="1:12" ht="15.75" customHeight="1" x14ac:dyDescent="0.2">
      <c r="A124" s="68"/>
      <c r="B124" s="66"/>
      <c r="C124" s="66"/>
      <c r="D124" s="66"/>
      <c r="E124" s="70"/>
      <c r="F124" s="70"/>
      <c r="G124" s="70"/>
      <c r="H124" s="66"/>
      <c r="I124" s="66"/>
      <c r="J124" s="66"/>
      <c r="K124" s="66"/>
      <c r="L124" s="66"/>
    </row>
    <row r="125" spans="1:12" ht="15.75" customHeight="1" x14ac:dyDescent="0.2">
      <c r="A125" s="68"/>
      <c r="B125" s="66"/>
      <c r="C125" s="66"/>
      <c r="D125" s="66"/>
      <c r="E125" s="70"/>
      <c r="F125" s="70"/>
      <c r="G125" s="70"/>
      <c r="H125" s="66"/>
      <c r="I125" s="66"/>
      <c r="J125" s="66"/>
      <c r="K125" s="66"/>
      <c r="L125" s="66"/>
    </row>
    <row r="126" spans="1:12" ht="15.75" customHeight="1" x14ac:dyDescent="0.2">
      <c r="A126" s="68"/>
      <c r="B126" s="66"/>
      <c r="C126" s="66"/>
      <c r="D126" s="66"/>
      <c r="E126" s="70"/>
      <c r="F126" s="70"/>
      <c r="G126" s="70"/>
      <c r="H126" s="66"/>
      <c r="I126" s="66"/>
      <c r="J126" s="66"/>
      <c r="K126" s="66"/>
      <c r="L126" s="66"/>
    </row>
    <row r="127" spans="1:12" ht="15.75" customHeight="1" x14ac:dyDescent="0.2">
      <c r="A127" s="68"/>
      <c r="B127" s="66"/>
      <c r="C127" s="66"/>
      <c r="D127" s="66"/>
      <c r="E127" s="70"/>
      <c r="F127" s="70"/>
      <c r="G127" s="70"/>
      <c r="H127" s="66"/>
      <c r="I127" s="66"/>
      <c r="J127" s="66"/>
      <c r="K127" s="66"/>
      <c r="L127" s="66"/>
    </row>
    <row r="128" spans="1:12" ht="15.75" customHeight="1" x14ac:dyDescent="0.2">
      <c r="A128" s="68"/>
      <c r="B128" s="66"/>
      <c r="C128" s="66"/>
      <c r="D128" s="66"/>
      <c r="E128" s="70"/>
      <c r="F128" s="70"/>
      <c r="G128" s="70"/>
      <c r="H128" s="66"/>
      <c r="I128" s="66"/>
      <c r="J128" s="66"/>
      <c r="K128" s="66"/>
      <c r="L128" s="66"/>
    </row>
    <row r="129" spans="1:12" ht="15.75" customHeight="1" x14ac:dyDescent="0.2">
      <c r="A129" s="68"/>
      <c r="B129" s="66"/>
      <c r="C129" s="66"/>
      <c r="D129" s="66"/>
      <c r="E129" s="70"/>
      <c r="F129" s="70"/>
      <c r="G129" s="70"/>
      <c r="H129" s="66"/>
      <c r="I129" s="66"/>
      <c r="J129" s="66"/>
      <c r="K129" s="66"/>
      <c r="L129" s="66"/>
    </row>
    <row r="130" spans="1:12" ht="15.75" customHeight="1" x14ac:dyDescent="0.2">
      <c r="A130" s="68"/>
      <c r="B130" s="66"/>
      <c r="C130" s="66"/>
      <c r="D130" s="66"/>
      <c r="E130" s="70"/>
      <c r="F130" s="70"/>
      <c r="G130" s="70"/>
      <c r="H130" s="66"/>
      <c r="I130" s="66"/>
      <c r="J130" s="66"/>
      <c r="K130" s="66"/>
      <c r="L130" s="66"/>
    </row>
    <row r="131" spans="1:12" ht="15.75" customHeight="1" x14ac:dyDescent="0.2">
      <c r="A131" s="68"/>
      <c r="B131" s="66"/>
      <c r="C131" s="66"/>
      <c r="D131" s="66"/>
      <c r="E131" s="70"/>
      <c r="F131" s="70"/>
      <c r="G131" s="70"/>
      <c r="H131" s="66"/>
      <c r="I131" s="66"/>
      <c r="J131" s="66"/>
      <c r="K131" s="66"/>
      <c r="L131" s="66"/>
    </row>
    <row r="132" spans="1:12" ht="15.75" customHeight="1" x14ac:dyDescent="0.2">
      <c r="A132" s="68"/>
      <c r="B132" s="66"/>
      <c r="C132" s="66"/>
      <c r="D132" s="66"/>
      <c r="E132" s="70"/>
      <c r="F132" s="70"/>
      <c r="G132" s="70"/>
      <c r="H132" s="66"/>
      <c r="I132" s="66"/>
      <c r="J132" s="66"/>
      <c r="K132" s="66"/>
      <c r="L132" s="66"/>
    </row>
    <row r="133" spans="1:12" ht="15.75" customHeight="1" x14ac:dyDescent="0.2">
      <c r="A133" s="68"/>
      <c r="B133" s="66"/>
      <c r="C133" s="66"/>
      <c r="D133" s="66"/>
      <c r="E133" s="70"/>
      <c r="F133" s="70"/>
      <c r="G133" s="70"/>
      <c r="H133" s="66"/>
      <c r="I133" s="66"/>
      <c r="J133" s="66"/>
      <c r="K133" s="66"/>
      <c r="L133" s="66"/>
    </row>
    <row r="134" spans="1:12" ht="15.75" customHeight="1" x14ac:dyDescent="0.2">
      <c r="A134" s="68"/>
      <c r="B134" s="66"/>
      <c r="C134" s="66"/>
      <c r="D134" s="66"/>
      <c r="E134" s="70"/>
      <c r="F134" s="70"/>
      <c r="G134" s="70"/>
      <c r="H134" s="66"/>
      <c r="I134" s="66"/>
      <c r="J134" s="66"/>
      <c r="K134" s="66"/>
      <c r="L134" s="66"/>
    </row>
    <row r="135" spans="1:12" ht="15.75" customHeight="1" x14ac:dyDescent="0.2">
      <c r="A135" s="68"/>
      <c r="B135" s="66"/>
      <c r="C135" s="66"/>
      <c r="D135" s="66"/>
      <c r="E135" s="70"/>
      <c r="F135" s="70"/>
      <c r="G135" s="70"/>
      <c r="H135" s="66"/>
      <c r="I135" s="66"/>
      <c r="J135" s="66"/>
      <c r="K135" s="66"/>
      <c r="L135" s="66"/>
    </row>
    <row r="136" spans="1:12" ht="15.75" customHeight="1" x14ac:dyDescent="0.2">
      <c r="A136" s="68"/>
      <c r="B136" s="66"/>
      <c r="C136" s="66"/>
      <c r="D136" s="66"/>
      <c r="E136" s="70"/>
      <c r="F136" s="70"/>
      <c r="G136" s="70"/>
      <c r="H136" s="66"/>
      <c r="I136" s="66"/>
      <c r="J136" s="66"/>
      <c r="K136" s="66"/>
      <c r="L136" s="66"/>
    </row>
    <row r="137" spans="1:12" ht="15.75" customHeight="1" x14ac:dyDescent="0.2">
      <c r="A137" s="68"/>
      <c r="B137" s="66"/>
      <c r="C137" s="66"/>
      <c r="D137" s="66"/>
      <c r="E137" s="70"/>
      <c r="F137" s="70"/>
      <c r="G137" s="70"/>
      <c r="H137" s="66"/>
      <c r="I137" s="66"/>
      <c r="J137" s="66"/>
      <c r="K137" s="66"/>
      <c r="L137" s="66"/>
    </row>
    <row r="138" spans="1:12" ht="15.75" customHeight="1" x14ac:dyDescent="0.2">
      <c r="A138" s="68"/>
      <c r="B138" s="66"/>
      <c r="C138" s="66"/>
      <c r="D138" s="66"/>
      <c r="E138" s="70"/>
      <c r="F138" s="70"/>
      <c r="G138" s="70"/>
      <c r="H138" s="66"/>
      <c r="I138" s="66"/>
      <c r="J138" s="66"/>
      <c r="K138" s="66"/>
      <c r="L138" s="66"/>
    </row>
    <row r="139" spans="1:12" ht="15.75" customHeight="1" x14ac:dyDescent="0.2">
      <c r="A139" s="68"/>
      <c r="B139" s="66"/>
      <c r="C139" s="66"/>
      <c r="D139" s="66"/>
      <c r="E139" s="70"/>
      <c r="F139" s="70"/>
      <c r="G139" s="70"/>
      <c r="H139" s="66"/>
      <c r="I139" s="66"/>
      <c r="J139" s="66"/>
      <c r="K139" s="66"/>
      <c r="L139" s="66"/>
    </row>
    <row r="140" spans="1:12" ht="15.75" customHeight="1" x14ac:dyDescent="0.2">
      <c r="A140" s="68"/>
      <c r="B140" s="66"/>
      <c r="C140" s="66"/>
      <c r="D140" s="66"/>
      <c r="E140" s="70"/>
      <c r="F140" s="70"/>
      <c r="G140" s="70"/>
      <c r="H140" s="66"/>
      <c r="I140" s="66"/>
      <c r="J140" s="66"/>
      <c r="K140" s="66"/>
      <c r="L140" s="66"/>
    </row>
    <row r="141" spans="1:12" ht="15.75" customHeight="1" x14ac:dyDescent="0.2">
      <c r="A141" s="68"/>
      <c r="B141" s="66"/>
      <c r="C141" s="66"/>
      <c r="D141" s="66"/>
      <c r="E141" s="70"/>
      <c r="F141" s="70"/>
      <c r="G141" s="70"/>
      <c r="H141" s="66"/>
      <c r="I141" s="66"/>
      <c r="J141" s="66"/>
      <c r="K141" s="66"/>
      <c r="L141" s="66"/>
    </row>
    <row r="142" spans="1:12" ht="15.75" customHeight="1" x14ac:dyDescent="0.2">
      <c r="A142" s="68"/>
      <c r="B142" s="66"/>
      <c r="C142" s="66"/>
      <c r="D142" s="66"/>
      <c r="E142" s="70"/>
      <c r="F142" s="70"/>
      <c r="G142" s="70"/>
      <c r="H142" s="66"/>
      <c r="I142" s="66"/>
      <c r="J142" s="66"/>
      <c r="K142" s="66"/>
      <c r="L142" s="66"/>
    </row>
    <row r="143" spans="1:12" ht="15.75" customHeight="1" x14ac:dyDescent="0.2">
      <c r="A143" s="68"/>
      <c r="B143" s="66"/>
      <c r="C143" s="66"/>
      <c r="D143" s="66"/>
      <c r="E143" s="70"/>
      <c r="F143" s="70"/>
      <c r="G143" s="70"/>
      <c r="H143" s="66"/>
      <c r="I143" s="66"/>
      <c r="J143" s="66"/>
      <c r="K143" s="66"/>
      <c r="L143" s="66"/>
    </row>
    <row r="144" spans="1:12" ht="15.75" customHeight="1" x14ac:dyDescent="0.2">
      <c r="A144" s="68"/>
      <c r="B144" s="66"/>
      <c r="C144" s="66"/>
      <c r="D144" s="66"/>
      <c r="E144" s="70"/>
      <c r="F144" s="70"/>
      <c r="G144" s="70"/>
      <c r="H144" s="66"/>
      <c r="I144" s="66"/>
      <c r="J144" s="66"/>
      <c r="K144" s="66"/>
      <c r="L144" s="66"/>
    </row>
    <row r="145" spans="1:12" ht="15.75" customHeight="1" x14ac:dyDescent="0.2">
      <c r="A145" s="68"/>
      <c r="B145" s="66"/>
      <c r="C145" s="66"/>
      <c r="D145" s="66"/>
      <c r="E145" s="70"/>
      <c r="F145" s="70"/>
      <c r="G145" s="70"/>
      <c r="H145" s="66"/>
      <c r="I145" s="66"/>
      <c r="J145" s="66"/>
      <c r="K145" s="66"/>
      <c r="L145" s="66"/>
    </row>
    <row r="146" spans="1:12" ht="15.75" customHeight="1" x14ac:dyDescent="0.2">
      <c r="A146" s="68"/>
      <c r="B146" s="66"/>
      <c r="C146" s="66"/>
      <c r="D146" s="66"/>
      <c r="E146" s="70"/>
      <c r="F146" s="70"/>
      <c r="G146" s="70"/>
      <c r="H146" s="66"/>
      <c r="I146" s="66"/>
      <c r="J146" s="66"/>
      <c r="K146" s="66"/>
      <c r="L146" s="66"/>
    </row>
    <row r="147" spans="1:12" ht="15.75" customHeight="1" x14ac:dyDescent="0.2">
      <c r="A147" s="68"/>
      <c r="B147" s="66"/>
      <c r="C147" s="66"/>
      <c r="D147" s="66"/>
      <c r="E147" s="70"/>
      <c r="F147" s="70"/>
      <c r="G147" s="70"/>
      <c r="H147" s="66"/>
      <c r="I147" s="66"/>
      <c r="J147" s="66"/>
      <c r="K147" s="66"/>
      <c r="L147" s="66"/>
    </row>
    <row r="148" spans="1:12" ht="15.75" customHeight="1" x14ac:dyDescent="0.2">
      <c r="A148" s="68"/>
      <c r="B148" s="66"/>
      <c r="C148" s="66"/>
      <c r="D148" s="66"/>
      <c r="E148" s="70"/>
      <c r="F148" s="70"/>
      <c r="G148" s="70"/>
      <c r="H148" s="66"/>
      <c r="I148" s="66"/>
      <c r="J148" s="66"/>
      <c r="K148" s="66"/>
      <c r="L148" s="66"/>
    </row>
    <row r="149" spans="1:12" ht="15.75" customHeight="1" x14ac:dyDescent="0.2">
      <c r="A149" s="68"/>
      <c r="B149" s="66"/>
      <c r="C149" s="66"/>
      <c r="D149" s="66"/>
      <c r="E149" s="70"/>
      <c r="F149" s="70"/>
      <c r="G149" s="70"/>
      <c r="H149" s="66"/>
      <c r="I149" s="66"/>
      <c r="J149" s="66"/>
      <c r="K149" s="66"/>
      <c r="L149" s="66"/>
    </row>
    <row r="150" spans="1:12" ht="15.75" customHeight="1" x14ac:dyDescent="0.2">
      <c r="A150" s="68"/>
      <c r="B150" s="66"/>
      <c r="C150" s="66"/>
      <c r="D150" s="66"/>
      <c r="E150" s="70"/>
      <c r="F150" s="70"/>
      <c r="G150" s="70"/>
      <c r="H150" s="66"/>
      <c r="I150" s="66"/>
      <c r="J150" s="66"/>
      <c r="K150" s="66"/>
      <c r="L150" s="66"/>
    </row>
    <row r="151" spans="1:12" ht="15.75" customHeight="1" x14ac:dyDescent="0.2">
      <c r="A151" s="68"/>
      <c r="B151" s="66"/>
      <c r="C151" s="66"/>
      <c r="D151" s="66"/>
      <c r="E151" s="70"/>
      <c r="F151" s="70"/>
      <c r="G151" s="70"/>
      <c r="H151" s="66"/>
      <c r="I151" s="66"/>
      <c r="J151" s="66"/>
      <c r="K151" s="66"/>
      <c r="L151" s="66"/>
    </row>
    <row r="152" spans="1:12" ht="15.75" customHeight="1" x14ac:dyDescent="0.2">
      <c r="A152" s="68"/>
      <c r="B152" s="66"/>
      <c r="C152" s="66"/>
      <c r="D152" s="66"/>
      <c r="E152" s="70"/>
      <c r="F152" s="70"/>
      <c r="G152" s="70"/>
      <c r="H152" s="66"/>
      <c r="I152" s="66"/>
      <c r="J152" s="66"/>
      <c r="K152" s="66"/>
      <c r="L152" s="66"/>
    </row>
    <row r="153" spans="1:12" ht="15.75" customHeight="1" x14ac:dyDescent="0.2">
      <c r="A153" s="68"/>
      <c r="B153" s="66"/>
      <c r="C153" s="66"/>
      <c r="D153" s="66"/>
      <c r="E153" s="70"/>
      <c r="F153" s="70"/>
      <c r="G153" s="70"/>
      <c r="H153" s="66"/>
      <c r="I153" s="66"/>
      <c r="J153" s="66"/>
      <c r="K153" s="66"/>
      <c r="L153" s="66"/>
    </row>
    <row r="154" spans="1:12" ht="15.75" customHeight="1" x14ac:dyDescent="0.2">
      <c r="A154" s="68"/>
      <c r="B154" s="66"/>
      <c r="C154" s="66"/>
      <c r="D154" s="66"/>
      <c r="E154" s="70"/>
      <c r="F154" s="70"/>
      <c r="G154" s="70"/>
      <c r="H154" s="66"/>
      <c r="I154" s="66"/>
      <c r="J154" s="66"/>
      <c r="K154" s="66"/>
      <c r="L154" s="66"/>
    </row>
    <row r="155" spans="1:12" ht="15.75" customHeight="1" x14ac:dyDescent="0.2">
      <c r="A155" s="68"/>
      <c r="B155" s="66"/>
      <c r="C155" s="66"/>
      <c r="D155" s="66"/>
      <c r="E155" s="70"/>
      <c r="F155" s="70"/>
      <c r="G155" s="70"/>
      <c r="H155" s="66"/>
      <c r="I155" s="66"/>
      <c r="J155" s="66"/>
      <c r="K155" s="66"/>
      <c r="L155" s="66"/>
    </row>
    <row r="156" spans="1:12" ht="15.75" customHeight="1" x14ac:dyDescent="0.2">
      <c r="A156" s="68"/>
      <c r="B156" s="66"/>
      <c r="C156" s="66"/>
      <c r="D156" s="66"/>
      <c r="E156" s="70"/>
      <c r="F156" s="70"/>
      <c r="G156" s="70"/>
      <c r="H156" s="66"/>
      <c r="I156" s="66"/>
      <c r="J156" s="66"/>
      <c r="K156" s="66"/>
      <c r="L156" s="66"/>
    </row>
    <row r="157" spans="1:12" ht="15.75" customHeight="1" x14ac:dyDescent="0.2">
      <c r="A157" s="68"/>
      <c r="B157" s="66"/>
      <c r="C157" s="66"/>
      <c r="D157" s="66"/>
      <c r="E157" s="70"/>
      <c r="F157" s="70"/>
      <c r="G157" s="70"/>
      <c r="H157" s="66"/>
      <c r="I157" s="66"/>
      <c r="J157" s="66"/>
      <c r="K157" s="66"/>
      <c r="L157" s="66"/>
    </row>
    <row r="158" spans="1:12" ht="15.75" customHeight="1" x14ac:dyDescent="0.2">
      <c r="A158" s="68"/>
      <c r="B158" s="66"/>
      <c r="C158" s="66"/>
      <c r="D158" s="66"/>
      <c r="E158" s="70"/>
      <c r="F158" s="70"/>
      <c r="G158" s="70"/>
      <c r="H158" s="66"/>
      <c r="I158" s="66"/>
      <c r="J158" s="66"/>
      <c r="K158" s="66"/>
      <c r="L158" s="66"/>
    </row>
    <row r="159" spans="1:12" ht="15.75" customHeight="1" x14ac:dyDescent="0.2">
      <c r="A159" s="68"/>
      <c r="B159" s="66"/>
      <c r="C159" s="66"/>
      <c r="D159" s="66"/>
      <c r="E159" s="70"/>
      <c r="F159" s="70"/>
      <c r="G159" s="70"/>
      <c r="H159" s="66"/>
      <c r="I159" s="66"/>
      <c r="J159" s="66"/>
      <c r="K159" s="66"/>
      <c r="L159" s="66"/>
    </row>
    <row r="160" spans="1:12" ht="15.75" customHeight="1" x14ac:dyDescent="0.2">
      <c r="A160" s="68"/>
      <c r="B160" s="66"/>
      <c r="C160" s="66"/>
      <c r="D160" s="66"/>
      <c r="E160" s="70"/>
      <c r="F160" s="70"/>
      <c r="G160" s="70"/>
      <c r="H160" s="66"/>
      <c r="I160" s="66"/>
      <c r="J160" s="66"/>
      <c r="K160" s="66"/>
      <c r="L160" s="66"/>
    </row>
    <row r="161" spans="1:12" ht="15.75" customHeight="1" x14ac:dyDescent="0.2">
      <c r="A161" s="68"/>
      <c r="B161" s="66"/>
      <c r="C161" s="66"/>
      <c r="D161" s="66"/>
      <c r="E161" s="70"/>
      <c r="F161" s="70"/>
      <c r="G161" s="70"/>
      <c r="H161" s="66"/>
      <c r="I161" s="66"/>
      <c r="J161" s="66"/>
      <c r="K161" s="66"/>
      <c r="L161" s="66"/>
    </row>
    <row r="162" spans="1:12" ht="15.75" customHeight="1" x14ac:dyDescent="0.2">
      <c r="A162" s="68"/>
      <c r="B162" s="66"/>
      <c r="C162" s="66"/>
      <c r="D162" s="66"/>
      <c r="E162" s="70"/>
      <c r="F162" s="70"/>
      <c r="G162" s="70"/>
      <c r="H162" s="66"/>
      <c r="I162" s="66"/>
      <c r="J162" s="66"/>
      <c r="K162" s="66"/>
      <c r="L162" s="66"/>
    </row>
    <row r="163" spans="1:12" ht="15.75" customHeight="1" x14ac:dyDescent="0.2">
      <c r="A163" s="68"/>
      <c r="B163" s="66"/>
      <c r="C163" s="66"/>
      <c r="D163" s="66"/>
      <c r="E163" s="70"/>
      <c r="F163" s="70"/>
      <c r="G163" s="70"/>
      <c r="H163" s="66"/>
      <c r="I163" s="66"/>
      <c r="J163" s="66"/>
      <c r="K163" s="66"/>
      <c r="L163" s="66"/>
    </row>
    <row r="164" spans="1:12" ht="15.75" customHeight="1" x14ac:dyDescent="0.2">
      <c r="A164" s="68"/>
      <c r="B164" s="66"/>
      <c r="C164" s="66"/>
      <c r="D164" s="66"/>
      <c r="E164" s="70"/>
      <c r="F164" s="70"/>
      <c r="G164" s="70"/>
      <c r="H164" s="66"/>
      <c r="I164" s="66"/>
      <c r="J164" s="66"/>
      <c r="K164" s="66"/>
      <c r="L164" s="66"/>
    </row>
    <row r="165" spans="1:12" ht="15.75" customHeight="1" x14ac:dyDescent="0.2">
      <c r="A165" s="68"/>
      <c r="B165" s="66"/>
      <c r="C165" s="66"/>
      <c r="D165" s="66"/>
      <c r="E165" s="70"/>
      <c r="F165" s="70"/>
      <c r="G165" s="70"/>
      <c r="H165" s="66"/>
      <c r="I165" s="66"/>
      <c r="J165" s="66"/>
      <c r="K165" s="66"/>
      <c r="L165" s="66"/>
    </row>
    <row r="166" spans="1:12" ht="15.75" customHeight="1" x14ac:dyDescent="0.2">
      <c r="A166" s="68"/>
      <c r="B166" s="66"/>
      <c r="C166" s="66"/>
      <c r="D166" s="66"/>
      <c r="E166" s="70"/>
      <c r="F166" s="70"/>
      <c r="G166" s="70"/>
      <c r="H166" s="66"/>
      <c r="I166" s="66"/>
      <c r="J166" s="66"/>
      <c r="K166" s="66"/>
      <c r="L166" s="66"/>
    </row>
    <row r="167" spans="1:12" ht="15.75" customHeight="1" x14ac:dyDescent="0.2">
      <c r="A167" s="68"/>
      <c r="B167" s="66"/>
      <c r="C167" s="66"/>
      <c r="D167" s="66"/>
      <c r="E167" s="70"/>
      <c r="F167" s="70"/>
      <c r="G167" s="70"/>
      <c r="H167" s="66"/>
      <c r="I167" s="66"/>
      <c r="J167" s="66"/>
      <c r="K167" s="66"/>
      <c r="L167" s="66"/>
    </row>
    <row r="168" spans="1:12" ht="15.75" customHeight="1" x14ac:dyDescent="0.2">
      <c r="A168" s="68"/>
      <c r="B168" s="66"/>
      <c r="C168" s="66"/>
      <c r="D168" s="66"/>
      <c r="E168" s="70"/>
      <c r="F168" s="70"/>
      <c r="G168" s="70"/>
      <c r="H168" s="66"/>
      <c r="I168" s="66"/>
      <c r="J168" s="66"/>
      <c r="K168" s="66"/>
      <c r="L168" s="66"/>
    </row>
    <row r="169" spans="1:12" ht="15.75" customHeight="1" x14ac:dyDescent="0.2">
      <c r="A169" s="68"/>
      <c r="B169" s="66"/>
      <c r="C169" s="66"/>
      <c r="D169" s="66"/>
      <c r="E169" s="70"/>
      <c r="F169" s="70"/>
      <c r="G169" s="70"/>
      <c r="H169" s="66"/>
      <c r="I169" s="66"/>
      <c r="J169" s="66"/>
      <c r="K169" s="66"/>
      <c r="L169" s="66"/>
    </row>
    <row r="170" spans="1:12" ht="15.75" customHeight="1" x14ac:dyDescent="0.2">
      <c r="A170" s="68"/>
      <c r="B170" s="66"/>
      <c r="C170" s="66"/>
      <c r="D170" s="66"/>
      <c r="E170" s="70"/>
      <c r="F170" s="70"/>
      <c r="G170" s="70"/>
      <c r="H170" s="66"/>
      <c r="I170" s="66"/>
      <c r="J170" s="66"/>
      <c r="K170" s="66"/>
      <c r="L170" s="66"/>
    </row>
    <row r="171" spans="1:12" ht="15.75" customHeight="1" x14ac:dyDescent="0.2">
      <c r="A171" s="68"/>
      <c r="B171" s="66"/>
      <c r="C171" s="66"/>
      <c r="D171" s="66"/>
      <c r="E171" s="70"/>
      <c r="F171" s="70"/>
      <c r="G171" s="70"/>
      <c r="H171" s="66"/>
      <c r="I171" s="66"/>
      <c r="J171" s="66"/>
      <c r="K171" s="66"/>
      <c r="L171" s="66"/>
    </row>
    <row r="172" spans="1:12" ht="15.75" customHeight="1" x14ac:dyDescent="0.2">
      <c r="A172" s="68"/>
      <c r="B172" s="66"/>
      <c r="C172" s="66"/>
      <c r="D172" s="66"/>
      <c r="E172" s="70"/>
      <c r="F172" s="70"/>
      <c r="G172" s="70"/>
      <c r="H172" s="66"/>
      <c r="I172" s="66"/>
      <c r="J172" s="66"/>
      <c r="K172" s="66"/>
      <c r="L172" s="66"/>
    </row>
    <row r="173" spans="1:12" ht="15.75" customHeight="1" x14ac:dyDescent="0.2">
      <c r="A173" s="68"/>
      <c r="B173" s="66"/>
      <c r="C173" s="66"/>
      <c r="D173" s="66"/>
      <c r="E173" s="70"/>
      <c r="F173" s="70"/>
      <c r="G173" s="70"/>
      <c r="H173" s="66"/>
      <c r="I173" s="66"/>
      <c r="J173" s="66"/>
      <c r="K173" s="66"/>
      <c r="L173" s="66"/>
    </row>
    <row r="174" spans="1:12" ht="15.75" customHeight="1" x14ac:dyDescent="0.2">
      <c r="A174" s="68"/>
      <c r="B174" s="66"/>
      <c r="C174" s="66"/>
      <c r="D174" s="66"/>
      <c r="E174" s="70"/>
      <c r="F174" s="70"/>
      <c r="G174" s="70"/>
      <c r="H174" s="66"/>
      <c r="I174" s="66"/>
      <c r="J174" s="66"/>
      <c r="K174" s="66"/>
      <c r="L174" s="66"/>
    </row>
    <row r="175" spans="1:12" ht="15.75" customHeight="1" x14ac:dyDescent="0.2">
      <c r="A175" s="68"/>
      <c r="B175" s="66"/>
      <c r="C175" s="66"/>
      <c r="D175" s="66"/>
      <c r="E175" s="70"/>
      <c r="F175" s="70"/>
      <c r="G175" s="70"/>
      <c r="H175" s="66"/>
      <c r="I175" s="66"/>
      <c r="J175" s="66"/>
      <c r="K175" s="66"/>
      <c r="L175" s="66"/>
    </row>
    <row r="176" spans="1:12" ht="15.75" customHeight="1" x14ac:dyDescent="0.2">
      <c r="A176" s="68"/>
      <c r="B176" s="66"/>
      <c r="C176" s="66"/>
      <c r="D176" s="66"/>
      <c r="E176" s="70"/>
      <c r="F176" s="70"/>
      <c r="G176" s="70"/>
      <c r="H176" s="66"/>
      <c r="I176" s="66"/>
      <c r="J176" s="66"/>
      <c r="K176" s="66"/>
      <c r="L176" s="66"/>
    </row>
    <row r="177" spans="1:12" ht="15.75" customHeight="1" x14ac:dyDescent="0.2">
      <c r="A177" s="68"/>
      <c r="B177" s="66"/>
      <c r="C177" s="66"/>
      <c r="D177" s="66"/>
      <c r="E177" s="70"/>
      <c r="F177" s="70"/>
      <c r="G177" s="70"/>
      <c r="H177" s="66"/>
      <c r="I177" s="66"/>
      <c r="J177" s="66"/>
      <c r="K177" s="66"/>
      <c r="L177" s="66"/>
    </row>
    <row r="178" spans="1:12" ht="15.75" customHeight="1" x14ac:dyDescent="0.2">
      <c r="A178" s="68"/>
      <c r="B178" s="66"/>
      <c r="C178" s="66"/>
      <c r="D178" s="66"/>
      <c r="E178" s="70"/>
      <c r="F178" s="70"/>
      <c r="G178" s="70"/>
      <c r="H178" s="66"/>
      <c r="I178" s="66"/>
      <c r="J178" s="66"/>
      <c r="K178" s="66"/>
      <c r="L178" s="66"/>
    </row>
    <row r="179" spans="1:12" ht="15.75" customHeight="1" x14ac:dyDescent="0.2">
      <c r="A179" s="68"/>
      <c r="B179" s="66"/>
      <c r="C179" s="66"/>
      <c r="D179" s="66"/>
      <c r="E179" s="70"/>
      <c r="F179" s="70"/>
      <c r="G179" s="70"/>
      <c r="H179" s="66"/>
      <c r="I179" s="66"/>
      <c r="J179" s="66"/>
      <c r="K179" s="66"/>
      <c r="L179" s="66"/>
    </row>
    <row r="180" spans="1:12" ht="15.75" customHeight="1" x14ac:dyDescent="0.2">
      <c r="A180" s="68"/>
      <c r="B180" s="66"/>
      <c r="C180" s="66"/>
      <c r="D180" s="66"/>
      <c r="E180" s="70"/>
      <c r="F180" s="70"/>
      <c r="G180" s="70"/>
      <c r="H180" s="66"/>
      <c r="I180" s="66"/>
      <c r="J180" s="66"/>
      <c r="K180" s="66"/>
      <c r="L180" s="66"/>
    </row>
    <row r="181" spans="1:12" ht="15.75" customHeight="1" x14ac:dyDescent="0.2">
      <c r="A181" s="68"/>
      <c r="B181" s="66"/>
      <c r="C181" s="66"/>
      <c r="D181" s="66"/>
      <c r="E181" s="70"/>
      <c r="F181" s="70"/>
      <c r="G181" s="70"/>
      <c r="H181" s="66"/>
      <c r="I181" s="66"/>
      <c r="J181" s="66"/>
      <c r="K181" s="66"/>
      <c r="L181" s="66"/>
    </row>
    <row r="182" spans="1:12" ht="15.75" customHeight="1" x14ac:dyDescent="0.2">
      <c r="A182" s="68"/>
      <c r="B182" s="66"/>
      <c r="C182" s="66"/>
      <c r="D182" s="66"/>
      <c r="E182" s="70"/>
      <c r="F182" s="70"/>
      <c r="G182" s="70"/>
      <c r="H182" s="66"/>
      <c r="I182" s="66"/>
      <c r="J182" s="66"/>
      <c r="K182" s="66"/>
      <c r="L182" s="66"/>
    </row>
    <row r="183" spans="1:12" ht="15.75" customHeight="1" x14ac:dyDescent="0.2">
      <c r="A183" s="68"/>
      <c r="B183" s="66"/>
      <c r="C183" s="66"/>
      <c r="D183" s="66"/>
      <c r="E183" s="70"/>
      <c r="F183" s="70"/>
      <c r="G183" s="70"/>
      <c r="H183" s="66"/>
      <c r="I183" s="66"/>
      <c r="J183" s="66"/>
      <c r="K183" s="66"/>
      <c r="L183" s="66"/>
    </row>
    <row r="184" spans="1:12" ht="15.75" customHeight="1" x14ac:dyDescent="0.2">
      <c r="A184" s="68"/>
      <c r="B184" s="66"/>
      <c r="C184" s="66"/>
      <c r="D184" s="66"/>
      <c r="E184" s="70"/>
      <c r="F184" s="70"/>
      <c r="G184" s="70"/>
      <c r="H184" s="66"/>
      <c r="I184" s="66"/>
      <c r="J184" s="66"/>
      <c r="K184" s="66"/>
      <c r="L184" s="66"/>
    </row>
    <row r="185" spans="1:12" ht="15.75" customHeight="1" x14ac:dyDescent="0.2">
      <c r="A185" s="68"/>
      <c r="B185" s="66"/>
      <c r="C185" s="66"/>
      <c r="D185" s="66"/>
      <c r="E185" s="70"/>
      <c r="F185" s="70"/>
      <c r="G185" s="70"/>
      <c r="H185" s="66"/>
      <c r="I185" s="66"/>
      <c r="J185" s="66"/>
      <c r="K185" s="66"/>
      <c r="L185" s="66"/>
    </row>
    <row r="186" spans="1:12" ht="15.75" customHeight="1" x14ac:dyDescent="0.2">
      <c r="A186" s="68"/>
      <c r="B186" s="66"/>
      <c r="C186" s="66"/>
      <c r="D186" s="66"/>
      <c r="E186" s="70"/>
      <c r="F186" s="70"/>
      <c r="G186" s="70"/>
      <c r="H186" s="66"/>
      <c r="I186" s="66"/>
      <c r="J186" s="66"/>
      <c r="K186" s="66"/>
      <c r="L186" s="66"/>
    </row>
    <row r="187" spans="1:12" ht="15.75" customHeight="1" x14ac:dyDescent="0.2">
      <c r="A187" s="68"/>
      <c r="B187" s="66"/>
      <c r="C187" s="66"/>
      <c r="D187" s="66"/>
      <c r="E187" s="70"/>
      <c r="F187" s="70"/>
      <c r="G187" s="70"/>
      <c r="H187" s="66"/>
      <c r="I187" s="66"/>
      <c r="J187" s="66"/>
      <c r="K187" s="66"/>
      <c r="L187" s="66"/>
    </row>
    <row r="188" spans="1:12" ht="15.75" customHeight="1" x14ac:dyDescent="0.2">
      <c r="A188" s="68"/>
      <c r="B188" s="66"/>
      <c r="C188" s="66"/>
      <c r="D188" s="66"/>
      <c r="E188" s="70"/>
      <c r="F188" s="70"/>
      <c r="G188" s="70"/>
      <c r="H188" s="66"/>
      <c r="I188" s="66"/>
      <c r="J188" s="66"/>
      <c r="K188" s="66"/>
      <c r="L188" s="66"/>
    </row>
    <row r="189" spans="1:12" ht="15.75" customHeight="1" x14ac:dyDescent="0.2">
      <c r="A189" s="68"/>
      <c r="B189" s="66"/>
      <c r="C189" s="66"/>
      <c r="D189" s="66"/>
      <c r="E189" s="70"/>
      <c r="F189" s="70"/>
      <c r="G189" s="70"/>
      <c r="H189" s="66"/>
      <c r="I189" s="66"/>
      <c r="J189" s="66"/>
      <c r="K189" s="66"/>
      <c r="L189" s="66"/>
    </row>
    <row r="190" spans="1:12" ht="15.75" customHeight="1" x14ac:dyDescent="0.2">
      <c r="A190" s="68"/>
      <c r="B190" s="66"/>
      <c r="C190" s="66"/>
      <c r="D190" s="66"/>
      <c r="E190" s="70"/>
      <c r="F190" s="70"/>
      <c r="G190" s="70"/>
      <c r="H190" s="66"/>
      <c r="I190" s="66"/>
      <c r="J190" s="66"/>
      <c r="K190" s="66"/>
      <c r="L190" s="66"/>
    </row>
    <row r="191" spans="1:12" ht="15.75" customHeight="1" x14ac:dyDescent="0.2">
      <c r="A191" s="68"/>
      <c r="B191" s="66"/>
      <c r="C191" s="66"/>
      <c r="D191" s="66"/>
      <c r="E191" s="70"/>
      <c r="F191" s="70"/>
      <c r="G191" s="70"/>
      <c r="H191" s="66"/>
      <c r="I191" s="66"/>
      <c r="J191" s="66"/>
      <c r="K191" s="66"/>
      <c r="L191" s="66"/>
    </row>
    <row r="192" spans="1:12" ht="15.75" customHeight="1" x14ac:dyDescent="0.2">
      <c r="A192" s="68"/>
      <c r="B192" s="66"/>
      <c r="C192" s="66"/>
      <c r="D192" s="66"/>
      <c r="E192" s="70"/>
      <c r="F192" s="70"/>
      <c r="G192" s="70"/>
      <c r="H192" s="66"/>
      <c r="I192" s="66"/>
      <c r="J192" s="66"/>
      <c r="K192" s="66"/>
      <c r="L192" s="66"/>
    </row>
    <row r="193" spans="1:12" ht="15.75" customHeight="1" x14ac:dyDescent="0.2">
      <c r="A193" s="68"/>
      <c r="B193" s="66"/>
      <c r="C193" s="66"/>
      <c r="D193" s="66"/>
      <c r="E193" s="70"/>
      <c r="F193" s="70"/>
      <c r="G193" s="70"/>
      <c r="H193" s="66"/>
      <c r="I193" s="66"/>
      <c r="J193" s="66"/>
      <c r="K193" s="66"/>
      <c r="L193" s="66"/>
    </row>
    <row r="194" spans="1:12" ht="15.75" customHeight="1" x14ac:dyDescent="0.2">
      <c r="A194" s="68"/>
      <c r="B194" s="66"/>
      <c r="C194" s="66"/>
      <c r="D194" s="66"/>
      <c r="E194" s="70"/>
      <c r="F194" s="70"/>
      <c r="G194" s="70"/>
      <c r="H194" s="66"/>
      <c r="I194" s="66"/>
      <c r="J194" s="66"/>
      <c r="K194" s="66"/>
      <c r="L194" s="66"/>
    </row>
    <row r="195" spans="1:12" ht="15.75" customHeight="1" x14ac:dyDescent="0.2">
      <c r="A195" s="68"/>
      <c r="B195" s="66"/>
      <c r="C195" s="66"/>
      <c r="D195" s="66"/>
      <c r="E195" s="70"/>
      <c r="F195" s="70"/>
      <c r="G195" s="70"/>
      <c r="H195" s="66"/>
      <c r="I195" s="66"/>
      <c r="J195" s="66"/>
      <c r="K195" s="66"/>
      <c r="L195" s="66"/>
    </row>
    <row r="196" spans="1:12" ht="15.75" customHeight="1" x14ac:dyDescent="0.2">
      <c r="A196" s="68"/>
      <c r="B196" s="66"/>
      <c r="C196" s="66"/>
      <c r="D196" s="66"/>
      <c r="E196" s="70"/>
      <c r="F196" s="70"/>
      <c r="G196" s="70"/>
      <c r="H196" s="66"/>
      <c r="I196" s="66"/>
      <c r="J196" s="66"/>
      <c r="K196" s="66"/>
      <c r="L196" s="66"/>
    </row>
    <row r="197" spans="1:12" ht="15.75" customHeight="1" x14ac:dyDescent="0.2">
      <c r="A197" s="68"/>
      <c r="B197" s="66"/>
      <c r="C197" s="66"/>
      <c r="D197" s="66"/>
      <c r="E197" s="70"/>
      <c r="F197" s="70"/>
      <c r="G197" s="70"/>
      <c r="H197" s="66"/>
      <c r="I197" s="66"/>
      <c r="J197" s="66"/>
      <c r="K197" s="66"/>
      <c r="L197" s="66"/>
    </row>
    <row r="198" spans="1:12" ht="15.75" customHeight="1" x14ac:dyDescent="0.2">
      <c r="A198" s="68"/>
      <c r="B198" s="66"/>
      <c r="C198" s="66"/>
      <c r="D198" s="66"/>
      <c r="E198" s="70"/>
      <c r="F198" s="70"/>
      <c r="G198" s="70"/>
      <c r="H198" s="66"/>
      <c r="I198" s="66"/>
      <c r="J198" s="66"/>
      <c r="K198" s="66"/>
      <c r="L198" s="66"/>
    </row>
    <row r="199" spans="1:12" ht="15.75" customHeight="1" x14ac:dyDescent="0.2">
      <c r="A199" s="68"/>
      <c r="B199" s="66"/>
      <c r="C199" s="66"/>
      <c r="D199" s="66"/>
      <c r="E199" s="70"/>
      <c r="F199" s="70"/>
      <c r="G199" s="70"/>
      <c r="H199" s="66"/>
      <c r="I199" s="66"/>
      <c r="J199" s="66"/>
      <c r="K199" s="66"/>
      <c r="L199" s="66"/>
    </row>
    <row r="200" spans="1:12" ht="15.75" customHeight="1" x14ac:dyDescent="0.2">
      <c r="A200" s="68"/>
      <c r="B200" s="66"/>
      <c r="C200" s="66"/>
      <c r="D200" s="66"/>
      <c r="E200" s="70"/>
      <c r="F200" s="70"/>
      <c r="G200" s="70"/>
      <c r="H200" s="66"/>
      <c r="I200" s="66"/>
      <c r="J200" s="66"/>
      <c r="K200" s="66"/>
      <c r="L200" s="66"/>
    </row>
    <row r="201" spans="1:12" ht="15.75" customHeight="1" x14ac:dyDescent="0.2">
      <c r="A201" s="68"/>
      <c r="B201" s="66"/>
      <c r="C201" s="66"/>
      <c r="D201" s="66"/>
      <c r="E201" s="70"/>
      <c r="F201" s="70"/>
      <c r="G201" s="70"/>
      <c r="H201" s="66"/>
      <c r="I201" s="66"/>
      <c r="J201" s="66"/>
      <c r="K201" s="66"/>
      <c r="L201" s="66"/>
    </row>
    <row r="202" spans="1:12" ht="15.75" customHeight="1" x14ac:dyDescent="0.2">
      <c r="A202" s="68"/>
      <c r="B202" s="66"/>
      <c r="C202" s="66"/>
      <c r="D202" s="66"/>
      <c r="E202" s="70"/>
      <c r="F202" s="70"/>
      <c r="G202" s="70"/>
      <c r="H202" s="66"/>
      <c r="I202" s="66"/>
      <c r="J202" s="66"/>
      <c r="K202" s="66"/>
      <c r="L202" s="66"/>
    </row>
    <row r="203" spans="1:12" ht="15.75" customHeight="1" x14ac:dyDescent="0.2">
      <c r="A203" s="68"/>
      <c r="B203" s="66"/>
      <c r="C203" s="66"/>
      <c r="D203" s="66"/>
      <c r="E203" s="70"/>
      <c r="F203" s="70"/>
      <c r="G203" s="70"/>
      <c r="H203" s="66"/>
      <c r="I203" s="66"/>
      <c r="J203" s="66"/>
      <c r="K203" s="66"/>
      <c r="L203" s="66"/>
    </row>
    <row r="204" spans="1:12" ht="15.75" customHeight="1" x14ac:dyDescent="0.2">
      <c r="A204" s="68"/>
      <c r="B204" s="66"/>
      <c r="C204" s="66"/>
      <c r="D204" s="66"/>
      <c r="E204" s="70"/>
      <c r="F204" s="70"/>
      <c r="G204" s="70"/>
      <c r="H204" s="66"/>
      <c r="I204" s="66"/>
      <c r="J204" s="66"/>
      <c r="K204" s="66"/>
      <c r="L204" s="66"/>
    </row>
    <row r="205" spans="1:12" ht="15.75" customHeight="1" x14ac:dyDescent="0.2">
      <c r="A205" s="68"/>
      <c r="B205" s="66"/>
      <c r="C205" s="66"/>
      <c r="D205" s="66"/>
      <c r="E205" s="70"/>
      <c r="F205" s="70"/>
      <c r="G205" s="70"/>
      <c r="H205" s="66"/>
      <c r="I205" s="66"/>
      <c r="J205" s="66"/>
      <c r="K205" s="66"/>
      <c r="L205" s="66"/>
    </row>
    <row r="206" spans="1:12" ht="15.75" customHeight="1" x14ac:dyDescent="0.2">
      <c r="A206" s="68"/>
      <c r="B206" s="66"/>
      <c r="C206" s="66"/>
      <c r="D206" s="66"/>
      <c r="E206" s="70"/>
      <c r="F206" s="70"/>
      <c r="G206" s="70"/>
      <c r="H206" s="66"/>
      <c r="I206" s="66"/>
      <c r="J206" s="66"/>
      <c r="K206" s="66"/>
      <c r="L206" s="66"/>
    </row>
    <row r="207" spans="1:12" ht="15.75" customHeight="1" x14ac:dyDescent="0.2">
      <c r="A207" s="68"/>
      <c r="B207" s="66"/>
      <c r="C207" s="66"/>
      <c r="D207" s="66"/>
      <c r="E207" s="70"/>
      <c r="F207" s="70"/>
      <c r="G207" s="70"/>
      <c r="H207" s="66"/>
      <c r="I207" s="66"/>
      <c r="J207" s="66"/>
      <c r="K207" s="66"/>
      <c r="L207" s="66"/>
    </row>
    <row r="208" spans="1:12" ht="15.75" customHeight="1" x14ac:dyDescent="0.2">
      <c r="A208" s="68"/>
      <c r="B208" s="66"/>
      <c r="C208" s="66"/>
      <c r="D208" s="66"/>
      <c r="E208" s="70"/>
      <c r="F208" s="70"/>
      <c r="G208" s="70"/>
      <c r="H208" s="66"/>
      <c r="I208" s="66"/>
      <c r="J208" s="66"/>
      <c r="K208" s="66"/>
      <c r="L208" s="66"/>
    </row>
    <row r="209" spans="1:12" ht="15.75" customHeight="1" x14ac:dyDescent="0.2">
      <c r="A209" s="68"/>
      <c r="B209" s="66"/>
      <c r="C209" s="66"/>
      <c r="D209" s="66"/>
      <c r="E209" s="70"/>
      <c r="F209" s="70"/>
      <c r="G209" s="70"/>
      <c r="H209" s="66"/>
      <c r="I209" s="66"/>
      <c r="J209" s="66"/>
      <c r="K209" s="66"/>
      <c r="L209" s="66"/>
    </row>
    <row r="210" spans="1:12" ht="15.75" customHeight="1" x14ac:dyDescent="0.2">
      <c r="A210" s="68"/>
      <c r="B210" s="66"/>
      <c r="C210" s="66"/>
      <c r="D210" s="66"/>
      <c r="E210" s="70"/>
      <c r="F210" s="70"/>
      <c r="G210" s="70"/>
      <c r="H210" s="66"/>
      <c r="I210" s="66"/>
      <c r="J210" s="66"/>
      <c r="K210" s="66"/>
      <c r="L210" s="66"/>
    </row>
    <row r="211" spans="1:12" ht="15.75" customHeight="1" x14ac:dyDescent="0.2">
      <c r="A211" s="68"/>
      <c r="B211" s="66"/>
      <c r="C211" s="66"/>
      <c r="D211" s="66"/>
      <c r="E211" s="70"/>
      <c r="F211" s="70"/>
      <c r="G211" s="70"/>
      <c r="H211" s="66"/>
      <c r="I211" s="66"/>
      <c r="J211" s="66"/>
      <c r="K211" s="66"/>
      <c r="L211" s="66"/>
    </row>
    <row r="212" spans="1:12" ht="15.75" customHeight="1" x14ac:dyDescent="0.2">
      <c r="A212" s="68"/>
      <c r="B212" s="66"/>
      <c r="C212" s="66"/>
      <c r="D212" s="66"/>
      <c r="E212" s="70"/>
      <c r="F212" s="70"/>
      <c r="G212" s="70"/>
      <c r="H212" s="66"/>
      <c r="I212" s="66"/>
      <c r="J212" s="66"/>
      <c r="K212" s="66"/>
      <c r="L212" s="66"/>
    </row>
    <row r="213" spans="1:12" ht="15.75" customHeight="1" x14ac:dyDescent="0.2">
      <c r="A213" s="68"/>
      <c r="B213" s="66"/>
      <c r="C213" s="66"/>
      <c r="D213" s="66"/>
      <c r="E213" s="70"/>
      <c r="F213" s="70"/>
      <c r="G213" s="70"/>
      <c r="H213" s="66"/>
      <c r="I213" s="66"/>
      <c r="J213" s="66"/>
      <c r="K213" s="66"/>
      <c r="L213" s="66"/>
    </row>
    <row r="214" spans="1:12" ht="15.75" customHeight="1" x14ac:dyDescent="0.2">
      <c r="A214" s="68"/>
      <c r="B214" s="66"/>
      <c r="C214" s="66"/>
      <c r="D214" s="66"/>
      <c r="E214" s="70"/>
      <c r="F214" s="70"/>
      <c r="G214" s="70"/>
      <c r="H214" s="66"/>
      <c r="I214" s="66"/>
      <c r="J214" s="66"/>
      <c r="K214" s="66"/>
      <c r="L214" s="66"/>
    </row>
    <row r="215" spans="1:12" ht="15.75" customHeight="1" x14ac:dyDescent="0.2">
      <c r="A215" s="68"/>
      <c r="B215" s="66"/>
      <c r="C215" s="66"/>
      <c r="D215" s="66"/>
      <c r="E215" s="70"/>
      <c r="F215" s="70"/>
      <c r="G215" s="70"/>
      <c r="H215" s="66"/>
      <c r="I215" s="66"/>
      <c r="J215" s="66"/>
      <c r="K215" s="66"/>
      <c r="L215" s="66"/>
    </row>
    <row r="216" spans="1:12" ht="15.75" customHeight="1" x14ac:dyDescent="0.2">
      <c r="A216" s="68"/>
      <c r="B216" s="66"/>
      <c r="C216" s="66"/>
      <c r="D216" s="66"/>
      <c r="E216" s="70"/>
      <c r="F216" s="70"/>
      <c r="G216" s="70"/>
      <c r="H216" s="66"/>
      <c r="I216" s="66"/>
      <c r="J216" s="66"/>
      <c r="K216" s="66"/>
      <c r="L216" s="66"/>
    </row>
    <row r="217" spans="1:12" ht="15.75" customHeight="1" x14ac:dyDescent="0.2">
      <c r="A217" s="68"/>
      <c r="B217" s="66"/>
      <c r="C217" s="66"/>
      <c r="D217" s="66"/>
      <c r="E217" s="70"/>
      <c r="F217" s="70"/>
      <c r="G217" s="70"/>
      <c r="H217" s="66"/>
      <c r="I217" s="66"/>
      <c r="J217" s="66"/>
      <c r="K217" s="66"/>
      <c r="L217" s="66"/>
    </row>
    <row r="218" spans="1:12" ht="15.75" customHeight="1" x14ac:dyDescent="0.2">
      <c r="A218" s="68"/>
      <c r="B218" s="66"/>
      <c r="C218" s="66"/>
      <c r="D218" s="66"/>
      <c r="E218" s="70"/>
      <c r="F218" s="70"/>
      <c r="G218" s="70"/>
      <c r="H218" s="66"/>
      <c r="I218" s="66"/>
      <c r="J218" s="66"/>
      <c r="K218" s="66"/>
      <c r="L218" s="66"/>
    </row>
    <row r="219" spans="1:12" ht="15.75" customHeight="1" x14ac:dyDescent="0.2">
      <c r="A219" s="68"/>
      <c r="B219" s="66"/>
      <c r="C219" s="66"/>
      <c r="D219" s="66"/>
      <c r="E219" s="70"/>
      <c r="F219" s="70"/>
      <c r="G219" s="70"/>
      <c r="H219" s="66"/>
      <c r="I219" s="66"/>
      <c r="J219" s="66"/>
      <c r="K219" s="66"/>
      <c r="L219" s="66"/>
    </row>
    <row r="220" spans="1:12" ht="15.75" customHeight="1" x14ac:dyDescent="0.2">
      <c r="A220" s="68"/>
      <c r="B220" s="66"/>
      <c r="C220" s="66"/>
      <c r="D220" s="66"/>
      <c r="E220" s="70"/>
      <c r="F220" s="70"/>
      <c r="G220" s="70"/>
      <c r="H220" s="66"/>
      <c r="I220" s="66"/>
      <c r="J220" s="66"/>
      <c r="K220" s="66"/>
      <c r="L220" s="66"/>
    </row>
    <row r="221" spans="1:12" ht="15.75" customHeight="1" x14ac:dyDescent="0.2">
      <c r="A221" s="68"/>
      <c r="B221" s="66"/>
      <c r="C221" s="66"/>
      <c r="D221" s="66"/>
      <c r="E221" s="70"/>
      <c r="F221" s="70"/>
      <c r="G221" s="70"/>
      <c r="H221" s="66"/>
      <c r="I221" s="66"/>
      <c r="J221" s="66"/>
      <c r="K221" s="66"/>
      <c r="L221" s="66"/>
    </row>
    <row r="222" spans="1:12" ht="15.75" customHeight="1" x14ac:dyDescent="0.2">
      <c r="A222" s="68"/>
      <c r="B222" s="66"/>
      <c r="C222" s="66"/>
      <c r="D222" s="66"/>
      <c r="E222" s="70"/>
      <c r="F222" s="70"/>
      <c r="G222" s="70"/>
      <c r="H222" s="66"/>
      <c r="I222" s="66"/>
      <c r="J222" s="66"/>
      <c r="K222" s="66"/>
      <c r="L222" s="66"/>
    </row>
    <row r="223" spans="1:12" ht="15.75" customHeight="1" x14ac:dyDescent="0.2">
      <c r="A223" s="68"/>
      <c r="B223" s="66"/>
      <c r="C223" s="66"/>
      <c r="D223" s="66"/>
      <c r="E223" s="70"/>
      <c r="F223" s="70"/>
      <c r="G223" s="70"/>
      <c r="H223" s="66"/>
      <c r="I223" s="66"/>
      <c r="J223" s="66"/>
      <c r="K223" s="66"/>
      <c r="L223" s="66"/>
    </row>
    <row r="224" spans="1:12" ht="15.75" customHeight="1" x14ac:dyDescent="0.2">
      <c r="A224" s="68"/>
      <c r="B224" s="66"/>
      <c r="C224" s="66"/>
      <c r="D224" s="66"/>
      <c r="E224" s="70"/>
      <c r="F224" s="70"/>
      <c r="G224" s="70"/>
      <c r="H224" s="66"/>
      <c r="I224" s="66"/>
      <c r="J224" s="66"/>
      <c r="K224" s="66"/>
      <c r="L224" s="66"/>
    </row>
    <row r="225" spans="1:12" ht="15.75" customHeight="1" x14ac:dyDescent="0.2">
      <c r="A225" s="68"/>
      <c r="B225" s="66"/>
      <c r="C225" s="66"/>
      <c r="D225" s="66"/>
      <c r="E225" s="70"/>
      <c r="F225" s="70"/>
      <c r="G225" s="70"/>
      <c r="H225" s="66"/>
      <c r="I225" s="66"/>
      <c r="J225" s="66"/>
      <c r="K225" s="66"/>
      <c r="L225" s="66"/>
    </row>
    <row r="226" spans="1:12" ht="15.75" customHeight="1" x14ac:dyDescent="0.2">
      <c r="A226" s="68"/>
      <c r="B226" s="66"/>
      <c r="C226" s="66"/>
      <c r="D226" s="66"/>
      <c r="E226" s="70"/>
      <c r="F226" s="70"/>
      <c r="G226" s="70"/>
      <c r="H226" s="66"/>
      <c r="I226" s="66"/>
      <c r="J226" s="66"/>
      <c r="K226" s="66"/>
      <c r="L226" s="66"/>
    </row>
    <row r="227" spans="1:12" ht="15.75" customHeight="1" x14ac:dyDescent="0.2">
      <c r="A227" s="68"/>
      <c r="B227" s="66"/>
      <c r="C227" s="66"/>
      <c r="D227" s="66"/>
      <c r="E227" s="70"/>
      <c r="F227" s="70"/>
      <c r="G227" s="70"/>
      <c r="H227" s="66"/>
      <c r="I227" s="66"/>
      <c r="J227" s="66"/>
      <c r="K227" s="66"/>
      <c r="L227" s="66"/>
    </row>
    <row r="228" spans="1:12" ht="15.75" customHeight="1" x14ac:dyDescent="0.2">
      <c r="A228" s="68"/>
      <c r="B228" s="66"/>
      <c r="C228" s="66"/>
      <c r="D228" s="66"/>
      <c r="E228" s="70"/>
      <c r="F228" s="70"/>
      <c r="G228" s="70"/>
      <c r="H228" s="66"/>
      <c r="I228" s="66"/>
      <c r="J228" s="66"/>
      <c r="K228" s="66"/>
      <c r="L228" s="66"/>
    </row>
    <row r="229" spans="1:12" ht="15.75" customHeight="1" x14ac:dyDescent="0.2">
      <c r="A229" s="68"/>
      <c r="B229" s="66"/>
      <c r="C229" s="66"/>
      <c r="D229" s="66"/>
      <c r="E229" s="70"/>
      <c r="F229" s="70"/>
      <c r="G229" s="70"/>
      <c r="H229" s="66"/>
      <c r="I229" s="66"/>
      <c r="J229" s="66"/>
      <c r="K229" s="66"/>
      <c r="L229" s="66"/>
    </row>
    <row r="230" spans="1:12" ht="15.75" customHeight="1" x14ac:dyDescent="0.2">
      <c r="A230" s="68"/>
      <c r="B230" s="66"/>
      <c r="C230" s="66"/>
      <c r="D230" s="66"/>
      <c r="E230" s="70"/>
      <c r="F230" s="70"/>
      <c r="G230" s="70"/>
      <c r="H230" s="66"/>
      <c r="I230" s="66"/>
      <c r="J230" s="66"/>
      <c r="K230" s="66"/>
      <c r="L230" s="66"/>
    </row>
    <row r="231" spans="1:12" ht="15.75" customHeight="1" x14ac:dyDescent="0.2">
      <c r="A231" s="68"/>
      <c r="B231" s="66"/>
      <c r="C231" s="66"/>
      <c r="D231" s="66"/>
      <c r="E231" s="70"/>
      <c r="F231" s="70"/>
      <c r="G231" s="70"/>
      <c r="H231" s="66"/>
      <c r="I231" s="66"/>
      <c r="J231" s="66"/>
      <c r="K231" s="66"/>
      <c r="L231" s="66"/>
    </row>
    <row r="232" spans="1:12" ht="15.75" customHeight="1" x14ac:dyDescent="0.2">
      <c r="A232" s="68"/>
      <c r="B232" s="66"/>
      <c r="C232" s="66"/>
      <c r="D232" s="66"/>
      <c r="E232" s="70"/>
      <c r="F232" s="70"/>
      <c r="G232" s="70"/>
      <c r="H232" s="66"/>
      <c r="I232" s="66"/>
      <c r="J232" s="66"/>
      <c r="K232" s="66"/>
      <c r="L232" s="66"/>
    </row>
    <row r="233" spans="1:12" ht="15.75" customHeight="1" x14ac:dyDescent="0.2">
      <c r="A233" s="68"/>
      <c r="B233" s="66"/>
      <c r="C233" s="66"/>
      <c r="D233" s="66"/>
      <c r="E233" s="70"/>
      <c r="F233" s="70"/>
      <c r="G233" s="70"/>
      <c r="H233" s="66"/>
      <c r="I233" s="66"/>
      <c r="J233" s="66"/>
      <c r="K233" s="66"/>
      <c r="L233" s="66"/>
    </row>
    <row r="234" spans="1:12" ht="15.75" customHeight="1" x14ac:dyDescent="0.2">
      <c r="A234" s="68"/>
      <c r="B234" s="66"/>
      <c r="C234" s="66"/>
      <c r="D234" s="66"/>
      <c r="E234" s="70"/>
      <c r="F234" s="70"/>
      <c r="G234" s="70"/>
      <c r="H234" s="66"/>
      <c r="I234" s="66"/>
      <c r="J234" s="66"/>
      <c r="K234" s="66"/>
      <c r="L234" s="66"/>
    </row>
    <row r="235" spans="1:12" ht="15.75" customHeight="1" x14ac:dyDescent="0.2">
      <c r="A235" s="68"/>
      <c r="B235" s="66"/>
      <c r="C235" s="66"/>
      <c r="D235" s="66"/>
      <c r="E235" s="70"/>
      <c r="F235" s="70"/>
      <c r="G235" s="70"/>
      <c r="H235" s="66"/>
      <c r="I235" s="66"/>
      <c r="J235" s="66"/>
      <c r="K235" s="66"/>
      <c r="L235" s="66"/>
    </row>
    <row r="236" spans="1:12" ht="15.75" customHeight="1" x14ac:dyDescent="0.2">
      <c r="A236" s="68"/>
      <c r="B236" s="66"/>
      <c r="C236" s="66"/>
      <c r="D236" s="66"/>
      <c r="E236" s="70"/>
      <c r="F236" s="70"/>
      <c r="G236" s="70"/>
      <c r="H236" s="66"/>
      <c r="I236" s="66"/>
      <c r="J236" s="66"/>
      <c r="K236" s="66"/>
      <c r="L236" s="66"/>
    </row>
    <row r="237" spans="1:12" ht="15.75" customHeight="1" x14ac:dyDescent="0.2">
      <c r="A237" s="68"/>
      <c r="B237" s="66"/>
      <c r="C237" s="66"/>
      <c r="D237" s="66"/>
      <c r="E237" s="70"/>
      <c r="F237" s="70"/>
      <c r="G237" s="70"/>
      <c r="H237" s="66"/>
      <c r="I237" s="66"/>
      <c r="J237" s="66"/>
      <c r="K237" s="66"/>
      <c r="L237" s="66"/>
    </row>
    <row r="238" spans="1:12" ht="15.75" customHeight="1" x14ac:dyDescent="0.2">
      <c r="A238" s="68"/>
      <c r="B238" s="66"/>
      <c r="C238" s="66"/>
      <c r="D238" s="66"/>
      <c r="E238" s="70"/>
      <c r="F238" s="70"/>
      <c r="G238" s="70"/>
      <c r="H238" s="66"/>
      <c r="I238" s="66"/>
      <c r="J238" s="66"/>
      <c r="K238" s="66"/>
      <c r="L238" s="66"/>
    </row>
    <row r="239" spans="1:12" ht="15.75" customHeight="1" x14ac:dyDescent="0.2">
      <c r="A239" s="68"/>
      <c r="B239" s="66"/>
      <c r="C239" s="66"/>
      <c r="D239" s="66"/>
      <c r="E239" s="70"/>
      <c r="F239" s="70"/>
      <c r="G239" s="70"/>
      <c r="H239" s="66"/>
      <c r="I239" s="66"/>
      <c r="J239" s="66"/>
      <c r="K239" s="66"/>
      <c r="L239" s="66"/>
    </row>
    <row r="240" spans="1:12" ht="15.75" customHeight="1" x14ac:dyDescent="0.2">
      <c r="A240" s="68"/>
      <c r="B240" s="66"/>
      <c r="C240" s="66"/>
      <c r="D240" s="66"/>
      <c r="E240" s="70"/>
      <c r="F240" s="70"/>
      <c r="G240" s="70"/>
      <c r="H240" s="66"/>
      <c r="I240" s="66"/>
      <c r="J240" s="66"/>
      <c r="K240" s="66"/>
      <c r="L240" s="66"/>
    </row>
    <row r="241" spans="1:12" ht="15.75" customHeight="1" x14ac:dyDescent="0.2">
      <c r="A241" s="68"/>
      <c r="B241" s="66"/>
      <c r="C241" s="66"/>
      <c r="D241" s="66"/>
      <c r="E241" s="70"/>
      <c r="F241" s="70"/>
      <c r="G241" s="70"/>
      <c r="H241" s="66"/>
      <c r="I241" s="66"/>
      <c r="J241" s="66"/>
      <c r="K241" s="66"/>
      <c r="L241" s="66"/>
    </row>
    <row r="242" spans="1:12" ht="15.75" customHeight="1" x14ac:dyDescent="0.2">
      <c r="A242" s="68"/>
      <c r="B242" s="66"/>
      <c r="C242" s="66"/>
      <c r="D242" s="66"/>
      <c r="E242" s="70"/>
      <c r="F242" s="70"/>
      <c r="G242" s="70"/>
      <c r="H242" s="66"/>
      <c r="I242" s="66"/>
      <c r="J242" s="66"/>
      <c r="K242" s="66"/>
      <c r="L242" s="66"/>
    </row>
    <row r="243" spans="1:12" ht="15.75" customHeight="1" x14ac:dyDescent="0.2">
      <c r="A243" s="68"/>
      <c r="B243" s="66"/>
      <c r="C243" s="66"/>
      <c r="D243" s="66"/>
      <c r="E243" s="70"/>
      <c r="F243" s="70"/>
      <c r="G243" s="70"/>
      <c r="H243" s="66"/>
      <c r="I243" s="66"/>
      <c r="J243" s="66"/>
      <c r="K243" s="66"/>
      <c r="L243" s="66"/>
    </row>
    <row r="244" spans="1:12" ht="15.75" customHeight="1" x14ac:dyDescent="0.2">
      <c r="A244" s="68"/>
      <c r="B244" s="66"/>
      <c r="C244" s="66"/>
      <c r="D244" s="66"/>
      <c r="E244" s="70"/>
      <c r="F244" s="70"/>
      <c r="G244" s="70"/>
      <c r="H244" s="66"/>
      <c r="I244" s="66"/>
      <c r="J244" s="66"/>
      <c r="K244" s="66"/>
      <c r="L244" s="66"/>
    </row>
    <row r="245" spans="1:12" ht="15.75" customHeight="1" x14ac:dyDescent="0.2">
      <c r="A245" s="68"/>
      <c r="B245" s="66"/>
      <c r="C245" s="66"/>
      <c r="D245" s="66"/>
      <c r="E245" s="70"/>
      <c r="F245" s="70"/>
      <c r="G245" s="70"/>
      <c r="H245" s="66"/>
      <c r="I245" s="66"/>
      <c r="J245" s="66"/>
      <c r="K245" s="66"/>
      <c r="L245" s="66"/>
    </row>
    <row r="246" spans="1:12" ht="15.75" customHeight="1" x14ac:dyDescent="0.2">
      <c r="A246" s="68"/>
      <c r="B246" s="66"/>
      <c r="C246" s="66"/>
      <c r="D246" s="66"/>
      <c r="E246" s="70"/>
      <c r="F246" s="70"/>
      <c r="G246" s="70"/>
      <c r="H246" s="66"/>
      <c r="I246" s="66"/>
      <c r="J246" s="66"/>
      <c r="K246" s="66"/>
      <c r="L246" s="66"/>
    </row>
    <row r="247" spans="1:12" ht="15.75" customHeight="1" x14ac:dyDescent="0.2">
      <c r="A247" s="68"/>
      <c r="B247" s="66"/>
      <c r="C247" s="66"/>
      <c r="D247" s="66"/>
      <c r="E247" s="70"/>
      <c r="F247" s="70"/>
      <c r="G247" s="70"/>
      <c r="H247" s="66"/>
      <c r="I247" s="66"/>
      <c r="J247" s="66"/>
      <c r="K247" s="66"/>
      <c r="L247" s="66"/>
    </row>
    <row r="248" spans="1:12" ht="15.75" customHeight="1" x14ac:dyDescent="0.2">
      <c r="A248" s="68"/>
      <c r="B248" s="66"/>
      <c r="C248" s="66"/>
      <c r="D248" s="66"/>
      <c r="E248" s="70"/>
      <c r="F248" s="70"/>
      <c r="G248" s="70"/>
      <c r="H248" s="66"/>
      <c r="I248" s="66"/>
      <c r="J248" s="66"/>
      <c r="K248" s="66"/>
      <c r="L248" s="66"/>
    </row>
    <row r="249" spans="1:12" ht="15.75" customHeight="1" x14ac:dyDescent="0.2">
      <c r="A249" s="68"/>
      <c r="B249" s="66"/>
      <c r="C249" s="66"/>
      <c r="D249" s="66"/>
      <c r="E249" s="70"/>
      <c r="F249" s="70"/>
      <c r="G249" s="70"/>
      <c r="H249" s="66"/>
      <c r="I249" s="66"/>
      <c r="J249" s="66"/>
      <c r="K249" s="66"/>
      <c r="L249" s="66"/>
    </row>
    <row r="250" spans="1:12" ht="15.75" customHeight="1" x14ac:dyDescent="0.2">
      <c r="A250" s="68"/>
      <c r="B250" s="66"/>
      <c r="C250" s="66"/>
      <c r="D250" s="66"/>
      <c r="E250" s="70"/>
      <c r="F250" s="70"/>
      <c r="G250" s="70"/>
      <c r="H250" s="66"/>
      <c r="I250" s="66"/>
      <c r="J250" s="66"/>
      <c r="K250" s="66"/>
      <c r="L250" s="66"/>
    </row>
    <row r="251" spans="1:12" ht="15.75" customHeight="1" x14ac:dyDescent="0.2">
      <c r="A251" s="68"/>
      <c r="B251" s="66"/>
      <c r="C251" s="66"/>
      <c r="D251" s="66"/>
      <c r="E251" s="70"/>
      <c r="F251" s="70"/>
      <c r="G251" s="70"/>
      <c r="H251" s="66"/>
      <c r="I251" s="66"/>
      <c r="J251" s="66"/>
      <c r="K251" s="66"/>
      <c r="L251" s="66"/>
    </row>
    <row r="252" spans="1:12" ht="15.75" customHeight="1" x14ac:dyDescent="0.2">
      <c r="A252" s="68"/>
      <c r="B252" s="66"/>
      <c r="C252" s="66"/>
      <c r="D252" s="66"/>
      <c r="E252" s="70"/>
      <c r="F252" s="70"/>
      <c r="G252" s="70"/>
      <c r="H252" s="66"/>
      <c r="I252" s="66"/>
      <c r="J252" s="66"/>
      <c r="K252" s="66"/>
      <c r="L252" s="66"/>
    </row>
    <row r="253" spans="1:12" ht="15.75" customHeight="1" x14ac:dyDescent="0.2">
      <c r="A253" s="68"/>
      <c r="B253" s="66"/>
      <c r="C253" s="66"/>
      <c r="D253" s="66"/>
      <c r="E253" s="70"/>
      <c r="F253" s="70"/>
      <c r="G253" s="70"/>
      <c r="H253" s="66"/>
      <c r="I253" s="66"/>
      <c r="J253" s="66"/>
      <c r="K253" s="66"/>
      <c r="L253" s="66"/>
    </row>
    <row r="254" spans="1:12" ht="15.75" customHeight="1" x14ac:dyDescent="0.2">
      <c r="A254" s="68"/>
      <c r="B254" s="66"/>
      <c r="C254" s="66"/>
      <c r="D254" s="66"/>
      <c r="E254" s="70"/>
      <c r="F254" s="70"/>
      <c r="G254" s="70"/>
      <c r="H254" s="66"/>
      <c r="I254" s="66"/>
      <c r="J254" s="66"/>
      <c r="K254" s="66"/>
      <c r="L254" s="66"/>
    </row>
    <row r="255" spans="1:12" ht="15.75" customHeight="1" x14ac:dyDescent="0.2">
      <c r="A255" s="68"/>
      <c r="B255" s="66"/>
      <c r="C255" s="66"/>
      <c r="D255" s="66"/>
      <c r="E255" s="70"/>
      <c r="F255" s="70"/>
      <c r="G255" s="70"/>
      <c r="H255" s="66"/>
      <c r="I255" s="66"/>
      <c r="J255" s="66"/>
      <c r="K255" s="66"/>
      <c r="L255" s="66"/>
    </row>
    <row r="256" spans="1:12" ht="15.75" customHeight="1" x14ac:dyDescent="0.2">
      <c r="A256" s="68"/>
      <c r="B256" s="66"/>
      <c r="C256" s="66"/>
      <c r="D256" s="66"/>
      <c r="E256" s="70"/>
      <c r="F256" s="70"/>
      <c r="G256" s="70"/>
      <c r="H256" s="66"/>
      <c r="I256" s="66"/>
      <c r="J256" s="66"/>
      <c r="K256" s="66"/>
      <c r="L256" s="66"/>
    </row>
    <row r="257" spans="1:12" ht="15.75" customHeight="1" x14ac:dyDescent="0.2">
      <c r="A257" s="68"/>
      <c r="B257" s="66"/>
      <c r="C257" s="66"/>
      <c r="D257" s="66"/>
      <c r="E257" s="70"/>
      <c r="F257" s="70"/>
      <c r="G257" s="70"/>
      <c r="H257" s="66"/>
      <c r="I257" s="66"/>
      <c r="J257" s="66"/>
      <c r="K257" s="66"/>
      <c r="L257" s="66"/>
    </row>
    <row r="258" spans="1:12" ht="15.75" customHeight="1" x14ac:dyDescent="0.2">
      <c r="A258" s="68"/>
      <c r="B258" s="66"/>
      <c r="C258" s="66"/>
      <c r="D258" s="66"/>
      <c r="E258" s="70"/>
      <c r="F258" s="70"/>
      <c r="G258" s="70"/>
      <c r="H258" s="66"/>
      <c r="I258" s="66"/>
      <c r="J258" s="66"/>
      <c r="K258" s="66"/>
      <c r="L258" s="66"/>
    </row>
    <row r="259" spans="1:12" ht="15.75" customHeight="1" x14ac:dyDescent="0.2">
      <c r="A259" s="68"/>
      <c r="B259" s="66"/>
      <c r="C259" s="66"/>
      <c r="D259" s="66"/>
      <c r="E259" s="70"/>
      <c r="F259" s="70"/>
      <c r="G259" s="70"/>
      <c r="H259" s="66"/>
      <c r="I259" s="66"/>
      <c r="J259" s="66"/>
      <c r="K259" s="66"/>
      <c r="L259" s="66"/>
    </row>
    <row r="260" spans="1:12" ht="15.75" customHeight="1" x14ac:dyDescent="0.2">
      <c r="A260" s="68"/>
      <c r="B260" s="66"/>
      <c r="C260" s="66"/>
      <c r="D260" s="66"/>
      <c r="E260" s="70"/>
      <c r="F260" s="70"/>
      <c r="G260" s="70"/>
      <c r="H260" s="66"/>
      <c r="I260" s="66"/>
      <c r="J260" s="66"/>
      <c r="K260" s="66"/>
      <c r="L260" s="66"/>
    </row>
    <row r="261" spans="1:12" ht="15.75" customHeight="1" x14ac:dyDescent="0.2">
      <c r="A261" s="68"/>
      <c r="B261" s="66"/>
      <c r="C261" s="66"/>
      <c r="D261" s="66"/>
      <c r="E261" s="70"/>
      <c r="F261" s="70"/>
      <c r="G261" s="70"/>
      <c r="H261" s="66"/>
      <c r="I261" s="66"/>
      <c r="J261" s="66"/>
      <c r="K261" s="66"/>
      <c r="L261" s="66"/>
    </row>
    <row r="262" spans="1:12" ht="15.75" customHeight="1" x14ac:dyDescent="0.2">
      <c r="A262" s="68"/>
      <c r="B262" s="66"/>
      <c r="C262" s="66"/>
      <c r="D262" s="66"/>
      <c r="E262" s="70"/>
      <c r="F262" s="70"/>
      <c r="G262" s="70"/>
      <c r="H262" s="66"/>
      <c r="I262" s="66"/>
      <c r="J262" s="66"/>
      <c r="K262" s="66"/>
      <c r="L262" s="66"/>
    </row>
    <row r="263" spans="1:12" ht="15.75" customHeight="1" x14ac:dyDescent="0.2">
      <c r="A263" s="68"/>
      <c r="B263" s="66"/>
      <c r="C263" s="66"/>
      <c r="D263" s="66"/>
      <c r="E263" s="70"/>
      <c r="F263" s="70"/>
      <c r="G263" s="70"/>
      <c r="H263" s="66"/>
      <c r="I263" s="66"/>
      <c r="J263" s="66"/>
      <c r="K263" s="66"/>
      <c r="L263" s="66"/>
    </row>
    <row r="264" spans="1:12" ht="15.75" customHeight="1" x14ac:dyDescent="0.2">
      <c r="A264" s="68"/>
      <c r="B264" s="66"/>
      <c r="C264" s="66"/>
      <c r="D264" s="66"/>
      <c r="E264" s="70"/>
      <c r="F264" s="70"/>
      <c r="G264" s="70"/>
      <c r="H264" s="66"/>
      <c r="I264" s="66"/>
      <c r="J264" s="66"/>
      <c r="K264" s="66"/>
      <c r="L264" s="66"/>
    </row>
    <row r="265" spans="1:12" ht="15.75" customHeight="1" x14ac:dyDescent="0.2">
      <c r="A265" s="68"/>
      <c r="B265" s="66"/>
      <c r="C265" s="66"/>
      <c r="D265" s="66"/>
      <c r="E265" s="70"/>
      <c r="F265" s="70"/>
      <c r="G265" s="70"/>
      <c r="H265" s="66"/>
      <c r="I265" s="66"/>
      <c r="J265" s="66"/>
      <c r="K265" s="66"/>
      <c r="L265" s="66"/>
    </row>
    <row r="266" spans="1:12" ht="15.75" customHeight="1" x14ac:dyDescent="0.2">
      <c r="A266" s="68"/>
      <c r="B266" s="66"/>
      <c r="C266" s="66"/>
      <c r="D266" s="66"/>
      <c r="E266" s="70"/>
      <c r="F266" s="70"/>
      <c r="G266" s="70"/>
      <c r="H266" s="66"/>
      <c r="I266" s="66"/>
      <c r="J266" s="66"/>
      <c r="K266" s="66"/>
      <c r="L266" s="66"/>
    </row>
    <row r="267" spans="1:12" ht="15.75" customHeight="1" x14ac:dyDescent="0.2">
      <c r="A267" s="68"/>
      <c r="B267" s="66"/>
      <c r="C267" s="66"/>
      <c r="D267" s="66"/>
      <c r="E267" s="70"/>
      <c r="F267" s="70"/>
      <c r="G267" s="70"/>
      <c r="H267" s="66"/>
      <c r="I267" s="66"/>
      <c r="J267" s="66"/>
      <c r="K267" s="66"/>
      <c r="L267" s="66"/>
    </row>
    <row r="268" spans="1:12" ht="15.75" customHeight="1" x14ac:dyDescent="0.2">
      <c r="A268" s="68"/>
      <c r="B268" s="66"/>
      <c r="C268" s="66"/>
      <c r="D268" s="66"/>
      <c r="E268" s="70"/>
      <c r="F268" s="70"/>
      <c r="G268" s="70"/>
      <c r="H268" s="66"/>
      <c r="I268" s="66"/>
      <c r="J268" s="66"/>
      <c r="K268" s="66"/>
      <c r="L268" s="66"/>
    </row>
    <row r="269" spans="1:12" ht="15.75" customHeight="1" x14ac:dyDescent="0.2">
      <c r="A269" s="68"/>
      <c r="B269" s="66"/>
      <c r="C269" s="66"/>
      <c r="D269" s="66"/>
      <c r="E269" s="70"/>
      <c r="F269" s="70"/>
      <c r="G269" s="70"/>
      <c r="H269" s="66"/>
      <c r="I269" s="66"/>
      <c r="J269" s="66"/>
      <c r="K269" s="66"/>
      <c r="L269" s="66"/>
    </row>
    <row r="270" spans="1:12" ht="15.75" customHeight="1" x14ac:dyDescent="0.2">
      <c r="A270" s="68"/>
      <c r="B270" s="66"/>
      <c r="C270" s="66"/>
      <c r="D270" s="66"/>
      <c r="E270" s="70"/>
      <c r="F270" s="70"/>
      <c r="G270" s="70"/>
      <c r="H270" s="66"/>
      <c r="I270" s="66"/>
      <c r="J270" s="66"/>
      <c r="K270" s="66"/>
      <c r="L270" s="66"/>
    </row>
    <row r="271" spans="1:12" ht="15.75" customHeight="1" x14ac:dyDescent="0.2">
      <c r="A271" s="68"/>
      <c r="B271" s="66"/>
      <c r="C271" s="66"/>
      <c r="D271" s="66"/>
      <c r="E271" s="70"/>
      <c r="F271" s="70"/>
      <c r="G271" s="70"/>
      <c r="H271" s="66"/>
      <c r="I271" s="66"/>
      <c r="J271" s="66"/>
      <c r="K271" s="66"/>
      <c r="L271" s="66"/>
    </row>
    <row r="272" spans="1:12" ht="15.75" customHeight="1" x14ac:dyDescent="0.2">
      <c r="A272" s="68"/>
      <c r="B272" s="66"/>
      <c r="C272" s="66"/>
      <c r="D272" s="66"/>
      <c r="E272" s="70"/>
      <c r="F272" s="70"/>
      <c r="G272" s="70"/>
      <c r="H272" s="66"/>
      <c r="I272" s="66"/>
      <c r="J272" s="66"/>
      <c r="K272" s="66"/>
      <c r="L272" s="66"/>
    </row>
    <row r="273" spans="1:12" ht="15.75" customHeight="1" x14ac:dyDescent="0.2">
      <c r="A273" s="68"/>
      <c r="B273" s="66"/>
      <c r="C273" s="66"/>
      <c r="D273" s="66"/>
      <c r="E273" s="70"/>
      <c r="F273" s="70"/>
      <c r="G273" s="70"/>
      <c r="H273" s="66"/>
      <c r="I273" s="66"/>
      <c r="J273" s="66"/>
      <c r="K273" s="66"/>
      <c r="L273" s="66"/>
    </row>
    <row r="274" spans="1:12" ht="15.75" customHeight="1" x14ac:dyDescent="0.2">
      <c r="A274" s="68"/>
      <c r="B274" s="66"/>
      <c r="C274" s="66"/>
      <c r="D274" s="66"/>
      <c r="E274" s="70"/>
      <c r="F274" s="70"/>
      <c r="G274" s="70"/>
      <c r="H274" s="66"/>
      <c r="I274" s="66"/>
      <c r="J274" s="66"/>
      <c r="K274" s="66"/>
      <c r="L274" s="66"/>
    </row>
    <row r="275" spans="1:12" ht="15.75" customHeight="1" x14ac:dyDescent="0.2">
      <c r="A275" s="68"/>
      <c r="B275" s="66"/>
      <c r="C275" s="66"/>
      <c r="D275" s="66"/>
      <c r="E275" s="70"/>
      <c r="F275" s="70"/>
      <c r="G275" s="70"/>
      <c r="H275" s="66"/>
      <c r="I275" s="66"/>
      <c r="J275" s="66"/>
      <c r="K275" s="66"/>
      <c r="L275" s="66"/>
    </row>
    <row r="276" spans="1:12" ht="15.75" customHeight="1" x14ac:dyDescent="0.2">
      <c r="A276" s="68"/>
      <c r="B276" s="66"/>
      <c r="C276" s="66"/>
      <c r="D276" s="66"/>
      <c r="E276" s="70"/>
      <c r="F276" s="70"/>
      <c r="G276" s="70"/>
      <c r="H276" s="66"/>
      <c r="I276" s="66"/>
      <c r="J276" s="66"/>
      <c r="K276" s="66"/>
      <c r="L276" s="66"/>
    </row>
    <row r="277" spans="1:12" ht="15.75" customHeight="1" x14ac:dyDescent="0.2">
      <c r="A277" s="68"/>
      <c r="B277" s="66"/>
      <c r="C277" s="66"/>
      <c r="D277" s="66"/>
      <c r="E277" s="70"/>
      <c r="F277" s="70"/>
      <c r="G277" s="70"/>
      <c r="H277" s="66"/>
      <c r="I277" s="66"/>
      <c r="J277" s="66"/>
      <c r="K277" s="66"/>
      <c r="L277" s="66"/>
    </row>
    <row r="278" spans="1:12" ht="15.75" customHeight="1" x14ac:dyDescent="0.2">
      <c r="A278" s="68"/>
      <c r="B278" s="66"/>
      <c r="C278" s="66"/>
      <c r="D278" s="66"/>
      <c r="E278" s="70"/>
      <c r="F278" s="70"/>
      <c r="G278" s="70"/>
      <c r="H278" s="66"/>
      <c r="I278" s="66"/>
      <c r="J278" s="66"/>
      <c r="K278" s="66"/>
      <c r="L278" s="66"/>
    </row>
    <row r="279" spans="1:12" ht="15.75" customHeight="1" x14ac:dyDescent="0.2">
      <c r="A279" s="68"/>
      <c r="B279" s="66"/>
      <c r="C279" s="66"/>
      <c r="D279" s="66"/>
      <c r="E279" s="70"/>
      <c r="F279" s="70"/>
      <c r="G279" s="70"/>
      <c r="H279" s="66"/>
      <c r="I279" s="66"/>
      <c r="J279" s="66"/>
      <c r="K279" s="66"/>
      <c r="L279" s="66"/>
    </row>
    <row r="280" spans="1:12" ht="15.75" customHeight="1" x14ac:dyDescent="0.2">
      <c r="A280" s="68"/>
      <c r="B280" s="66"/>
      <c r="C280" s="66"/>
      <c r="D280" s="66"/>
      <c r="E280" s="70"/>
      <c r="F280" s="70"/>
      <c r="G280" s="70"/>
      <c r="H280" s="66"/>
      <c r="I280" s="66"/>
      <c r="J280" s="66"/>
      <c r="K280" s="66"/>
      <c r="L280" s="66"/>
    </row>
    <row r="281" spans="1:12" ht="15.75" customHeight="1" x14ac:dyDescent="0.2"/>
    <row r="282" spans="1:12" ht="15.75" customHeight="1" x14ac:dyDescent="0.2"/>
    <row r="283" spans="1:12" ht="15.75" customHeight="1" x14ac:dyDescent="0.2"/>
    <row r="284" spans="1:12" ht="15.75" customHeight="1" x14ac:dyDescent="0.2"/>
    <row r="285" spans="1:12" ht="15.75" customHeight="1" x14ac:dyDescent="0.2"/>
    <row r="286" spans="1:12" ht="15.75" customHeight="1" x14ac:dyDescent="0.2"/>
    <row r="287" spans="1:12" ht="15.75" customHeight="1" x14ac:dyDescent="0.2"/>
    <row r="288" spans="1:12"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3">
    <mergeCell ref="A1:J1"/>
    <mergeCell ref="A2:C2"/>
    <mergeCell ref="A80:I80"/>
  </mergeCells>
  <pageMargins left="0.83" right="0.43" top="0.37" bottom="0.37" header="0.3" footer="0.3"/>
  <pageSetup paperSize="9" scale="90"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6"/>
  <sheetViews>
    <sheetView topLeftCell="A22" workbookViewId="0">
      <selection activeCell="B36" sqref="B36"/>
    </sheetView>
  </sheetViews>
  <sheetFormatPr defaultRowHeight="18.75" x14ac:dyDescent="0.3"/>
  <cols>
    <col min="1" max="1" width="9.125" style="5"/>
    <col min="2" max="2" width="33" style="6" customWidth="1"/>
    <col min="3" max="3" width="13.5" style="6" customWidth="1"/>
    <col min="4" max="4" width="19.375" style="6" customWidth="1"/>
    <col min="5" max="5" width="9.125" style="6"/>
    <col min="6" max="6" width="14" style="6" customWidth="1"/>
    <col min="7" max="7" width="9.125" style="6"/>
    <col min="8" max="8" width="9.5" style="6" customWidth="1"/>
    <col min="9" max="257" width="9.125" style="6"/>
    <col min="258" max="258" width="33" style="6" customWidth="1"/>
    <col min="259" max="259" width="13.5" style="6" customWidth="1"/>
    <col min="260" max="260" width="19.375" style="6" customWidth="1"/>
    <col min="261" max="261" width="9.125" style="6"/>
    <col min="262" max="262" width="17" style="6" customWidth="1"/>
    <col min="263" max="263" width="9.125" style="6"/>
    <col min="264" max="264" width="27.375" style="6" bestFit="1" customWidth="1"/>
    <col min="265" max="513" width="9.125" style="6"/>
    <col min="514" max="514" width="33" style="6" customWidth="1"/>
    <col min="515" max="515" width="13.5" style="6" customWidth="1"/>
    <col min="516" max="516" width="19.375" style="6" customWidth="1"/>
    <col min="517" max="517" width="9.125" style="6"/>
    <col min="518" max="518" width="17" style="6" customWidth="1"/>
    <col min="519" max="519" width="9.125" style="6"/>
    <col min="520" max="520" width="27.375" style="6" bestFit="1" customWidth="1"/>
    <col min="521" max="769" width="9.125" style="6"/>
    <col min="770" max="770" width="33" style="6" customWidth="1"/>
    <col min="771" max="771" width="13.5" style="6" customWidth="1"/>
    <col min="772" max="772" width="19.375" style="6" customWidth="1"/>
    <col min="773" max="773" width="9.125" style="6"/>
    <col min="774" max="774" width="17" style="6" customWidth="1"/>
    <col min="775" max="775" width="9.125" style="6"/>
    <col min="776" max="776" width="27.375" style="6" bestFit="1" customWidth="1"/>
    <col min="777" max="1025" width="9.125" style="6"/>
    <col min="1026" max="1026" width="33" style="6" customWidth="1"/>
    <col min="1027" max="1027" width="13.5" style="6" customWidth="1"/>
    <col min="1028" max="1028" width="19.375" style="6" customWidth="1"/>
    <col min="1029" max="1029" width="9.125" style="6"/>
    <col min="1030" max="1030" width="17" style="6" customWidth="1"/>
    <col min="1031" max="1031" width="9.125" style="6"/>
    <col min="1032" max="1032" width="27.375" style="6" bestFit="1" customWidth="1"/>
    <col min="1033" max="1281" width="9.125" style="6"/>
    <col min="1282" max="1282" width="33" style="6" customWidth="1"/>
    <col min="1283" max="1283" width="13.5" style="6" customWidth="1"/>
    <col min="1284" max="1284" width="19.375" style="6" customWidth="1"/>
    <col min="1285" max="1285" width="9.125" style="6"/>
    <col min="1286" max="1286" width="17" style="6" customWidth="1"/>
    <col min="1287" max="1287" width="9.125" style="6"/>
    <col min="1288" max="1288" width="27.375" style="6" bestFit="1" customWidth="1"/>
    <col min="1289" max="1537" width="9.125" style="6"/>
    <col min="1538" max="1538" width="33" style="6" customWidth="1"/>
    <col min="1539" max="1539" width="13.5" style="6" customWidth="1"/>
    <col min="1540" max="1540" width="19.375" style="6" customWidth="1"/>
    <col min="1541" max="1541" width="9.125" style="6"/>
    <col min="1542" max="1542" width="17" style="6" customWidth="1"/>
    <col min="1543" max="1543" width="9.125" style="6"/>
    <col min="1544" max="1544" width="27.375" style="6" bestFit="1" customWidth="1"/>
    <col min="1545" max="1793" width="9.125" style="6"/>
    <col min="1794" max="1794" width="33" style="6" customWidth="1"/>
    <col min="1795" max="1795" width="13.5" style="6" customWidth="1"/>
    <col min="1796" max="1796" width="19.375" style="6" customWidth="1"/>
    <col min="1797" max="1797" width="9.125" style="6"/>
    <col min="1798" max="1798" width="17" style="6" customWidth="1"/>
    <col min="1799" max="1799" width="9.125" style="6"/>
    <col min="1800" max="1800" width="27.375" style="6" bestFit="1" customWidth="1"/>
    <col min="1801" max="2049" width="9.125" style="6"/>
    <col min="2050" max="2050" width="33" style="6" customWidth="1"/>
    <col min="2051" max="2051" width="13.5" style="6" customWidth="1"/>
    <col min="2052" max="2052" width="19.375" style="6" customWidth="1"/>
    <col min="2053" max="2053" width="9.125" style="6"/>
    <col min="2054" max="2054" width="17" style="6" customWidth="1"/>
    <col min="2055" max="2055" width="9.125" style="6"/>
    <col min="2056" max="2056" width="27.375" style="6" bestFit="1" customWidth="1"/>
    <col min="2057" max="2305" width="9.125" style="6"/>
    <col min="2306" max="2306" width="33" style="6" customWidth="1"/>
    <col min="2307" max="2307" width="13.5" style="6" customWidth="1"/>
    <col min="2308" max="2308" width="19.375" style="6" customWidth="1"/>
    <col min="2309" max="2309" width="9.125" style="6"/>
    <col min="2310" max="2310" width="17" style="6" customWidth="1"/>
    <col min="2311" max="2311" width="9.125" style="6"/>
    <col min="2312" max="2312" width="27.375" style="6" bestFit="1" customWidth="1"/>
    <col min="2313" max="2561" width="9.125" style="6"/>
    <col min="2562" max="2562" width="33" style="6" customWidth="1"/>
    <col min="2563" max="2563" width="13.5" style="6" customWidth="1"/>
    <col min="2564" max="2564" width="19.375" style="6" customWidth="1"/>
    <col min="2565" max="2565" width="9.125" style="6"/>
    <col min="2566" max="2566" width="17" style="6" customWidth="1"/>
    <col min="2567" max="2567" width="9.125" style="6"/>
    <col min="2568" max="2568" width="27.375" style="6" bestFit="1" customWidth="1"/>
    <col min="2569" max="2817" width="9.125" style="6"/>
    <col min="2818" max="2818" width="33" style="6" customWidth="1"/>
    <col min="2819" max="2819" width="13.5" style="6" customWidth="1"/>
    <col min="2820" max="2820" width="19.375" style="6" customWidth="1"/>
    <col min="2821" max="2821" width="9.125" style="6"/>
    <col min="2822" max="2822" width="17" style="6" customWidth="1"/>
    <col min="2823" max="2823" width="9.125" style="6"/>
    <col min="2824" max="2824" width="27.375" style="6" bestFit="1" customWidth="1"/>
    <col min="2825" max="3073" width="9.125" style="6"/>
    <col min="3074" max="3074" width="33" style="6" customWidth="1"/>
    <col min="3075" max="3075" width="13.5" style="6" customWidth="1"/>
    <col min="3076" max="3076" width="19.375" style="6" customWidth="1"/>
    <col min="3077" max="3077" width="9.125" style="6"/>
    <col min="3078" max="3078" width="17" style="6" customWidth="1"/>
    <col min="3079" max="3079" width="9.125" style="6"/>
    <col min="3080" max="3080" width="27.375" style="6" bestFit="1" customWidth="1"/>
    <col min="3081" max="3329" width="9.125" style="6"/>
    <col min="3330" max="3330" width="33" style="6" customWidth="1"/>
    <col min="3331" max="3331" width="13.5" style="6" customWidth="1"/>
    <col min="3332" max="3332" width="19.375" style="6" customWidth="1"/>
    <col min="3333" max="3333" width="9.125" style="6"/>
    <col min="3334" max="3334" width="17" style="6" customWidth="1"/>
    <col min="3335" max="3335" width="9.125" style="6"/>
    <col min="3336" max="3336" width="27.375" style="6" bestFit="1" customWidth="1"/>
    <col min="3337" max="3585" width="9.125" style="6"/>
    <col min="3586" max="3586" width="33" style="6" customWidth="1"/>
    <col min="3587" max="3587" width="13.5" style="6" customWidth="1"/>
    <col min="3588" max="3588" width="19.375" style="6" customWidth="1"/>
    <col min="3589" max="3589" width="9.125" style="6"/>
    <col min="3590" max="3590" width="17" style="6" customWidth="1"/>
    <col min="3591" max="3591" width="9.125" style="6"/>
    <col min="3592" max="3592" width="27.375" style="6" bestFit="1" customWidth="1"/>
    <col min="3593" max="3841" width="9.125" style="6"/>
    <col min="3842" max="3842" width="33" style="6" customWidth="1"/>
    <col min="3843" max="3843" width="13.5" style="6" customWidth="1"/>
    <col min="3844" max="3844" width="19.375" style="6" customWidth="1"/>
    <col min="3845" max="3845" width="9.125" style="6"/>
    <col min="3846" max="3846" width="17" style="6" customWidth="1"/>
    <col min="3847" max="3847" width="9.125" style="6"/>
    <col min="3848" max="3848" width="27.375" style="6" bestFit="1" customWidth="1"/>
    <col min="3849" max="4097" width="9.125" style="6"/>
    <col min="4098" max="4098" width="33" style="6" customWidth="1"/>
    <col min="4099" max="4099" width="13.5" style="6" customWidth="1"/>
    <col min="4100" max="4100" width="19.375" style="6" customWidth="1"/>
    <col min="4101" max="4101" width="9.125" style="6"/>
    <col min="4102" max="4102" width="17" style="6" customWidth="1"/>
    <col min="4103" max="4103" width="9.125" style="6"/>
    <col min="4104" max="4104" width="27.375" style="6" bestFit="1" customWidth="1"/>
    <col min="4105" max="4353" width="9.125" style="6"/>
    <col min="4354" max="4354" width="33" style="6" customWidth="1"/>
    <col min="4355" max="4355" width="13.5" style="6" customWidth="1"/>
    <col min="4356" max="4356" width="19.375" style="6" customWidth="1"/>
    <col min="4357" max="4357" width="9.125" style="6"/>
    <col min="4358" max="4358" width="17" style="6" customWidth="1"/>
    <col min="4359" max="4359" width="9.125" style="6"/>
    <col min="4360" max="4360" width="27.375" style="6" bestFit="1" customWidth="1"/>
    <col min="4361" max="4609" width="9.125" style="6"/>
    <col min="4610" max="4610" width="33" style="6" customWidth="1"/>
    <col min="4611" max="4611" width="13.5" style="6" customWidth="1"/>
    <col min="4612" max="4612" width="19.375" style="6" customWidth="1"/>
    <col min="4613" max="4613" width="9.125" style="6"/>
    <col min="4614" max="4614" width="17" style="6" customWidth="1"/>
    <col min="4615" max="4615" width="9.125" style="6"/>
    <col min="4616" max="4616" width="27.375" style="6" bestFit="1" customWidth="1"/>
    <col min="4617" max="4865" width="9.125" style="6"/>
    <col min="4866" max="4866" width="33" style="6" customWidth="1"/>
    <col min="4867" max="4867" width="13.5" style="6" customWidth="1"/>
    <col min="4868" max="4868" width="19.375" style="6" customWidth="1"/>
    <col min="4869" max="4869" width="9.125" style="6"/>
    <col min="4870" max="4870" width="17" style="6" customWidth="1"/>
    <col min="4871" max="4871" width="9.125" style="6"/>
    <col min="4872" max="4872" width="27.375" style="6" bestFit="1" customWidth="1"/>
    <col min="4873" max="5121" width="9.125" style="6"/>
    <col min="5122" max="5122" width="33" style="6" customWidth="1"/>
    <col min="5123" max="5123" width="13.5" style="6" customWidth="1"/>
    <col min="5124" max="5124" width="19.375" style="6" customWidth="1"/>
    <col min="5125" max="5125" width="9.125" style="6"/>
    <col min="5126" max="5126" width="17" style="6" customWidth="1"/>
    <col min="5127" max="5127" width="9.125" style="6"/>
    <col min="5128" max="5128" width="27.375" style="6" bestFit="1" customWidth="1"/>
    <col min="5129" max="5377" width="9.125" style="6"/>
    <col min="5378" max="5378" width="33" style="6" customWidth="1"/>
    <col min="5379" max="5379" width="13.5" style="6" customWidth="1"/>
    <col min="5380" max="5380" width="19.375" style="6" customWidth="1"/>
    <col min="5381" max="5381" width="9.125" style="6"/>
    <col min="5382" max="5382" width="17" style="6" customWidth="1"/>
    <col min="5383" max="5383" width="9.125" style="6"/>
    <col min="5384" max="5384" width="27.375" style="6" bestFit="1" customWidth="1"/>
    <col min="5385" max="5633" width="9.125" style="6"/>
    <col min="5634" max="5634" width="33" style="6" customWidth="1"/>
    <col min="5635" max="5635" width="13.5" style="6" customWidth="1"/>
    <col min="5636" max="5636" width="19.375" style="6" customWidth="1"/>
    <col min="5637" max="5637" width="9.125" style="6"/>
    <col min="5638" max="5638" width="17" style="6" customWidth="1"/>
    <col min="5639" max="5639" width="9.125" style="6"/>
    <col min="5640" max="5640" width="27.375" style="6" bestFit="1" customWidth="1"/>
    <col min="5641" max="5889" width="9.125" style="6"/>
    <col min="5890" max="5890" width="33" style="6" customWidth="1"/>
    <col min="5891" max="5891" width="13.5" style="6" customWidth="1"/>
    <col min="5892" max="5892" width="19.375" style="6" customWidth="1"/>
    <col min="5893" max="5893" width="9.125" style="6"/>
    <col min="5894" max="5894" width="17" style="6" customWidth="1"/>
    <col min="5895" max="5895" width="9.125" style="6"/>
    <col min="5896" max="5896" width="27.375" style="6" bestFit="1" customWidth="1"/>
    <col min="5897" max="6145" width="9.125" style="6"/>
    <col min="6146" max="6146" width="33" style="6" customWidth="1"/>
    <col min="6147" max="6147" width="13.5" style="6" customWidth="1"/>
    <col min="6148" max="6148" width="19.375" style="6" customWidth="1"/>
    <col min="6149" max="6149" width="9.125" style="6"/>
    <col min="6150" max="6150" width="17" style="6" customWidth="1"/>
    <col min="6151" max="6151" width="9.125" style="6"/>
    <col min="6152" max="6152" width="27.375" style="6" bestFit="1" customWidth="1"/>
    <col min="6153" max="6401" width="9.125" style="6"/>
    <col min="6402" max="6402" width="33" style="6" customWidth="1"/>
    <col min="6403" max="6403" width="13.5" style="6" customWidth="1"/>
    <col min="6404" max="6404" width="19.375" style="6" customWidth="1"/>
    <col min="6405" max="6405" width="9.125" style="6"/>
    <col min="6406" max="6406" width="17" style="6" customWidth="1"/>
    <col min="6407" max="6407" width="9.125" style="6"/>
    <col min="6408" max="6408" width="27.375" style="6" bestFit="1" customWidth="1"/>
    <col min="6409" max="6657" width="9.125" style="6"/>
    <col min="6658" max="6658" width="33" style="6" customWidth="1"/>
    <col min="6659" max="6659" width="13.5" style="6" customWidth="1"/>
    <col min="6660" max="6660" width="19.375" style="6" customWidth="1"/>
    <col min="6661" max="6661" width="9.125" style="6"/>
    <col min="6662" max="6662" width="17" style="6" customWidth="1"/>
    <col min="6663" max="6663" width="9.125" style="6"/>
    <col min="6664" max="6664" width="27.375" style="6" bestFit="1" customWidth="1"/>
    <col min="6665" max="6913" width="9.125" style="6"/>
    <col min="6914" max="6914" width="33" style="6" customWidth="1"/>
    <col min="6915" max="6915" width="13.5" style="6" customWidth="1"/>
    <col min="6916" max="6916" width="19.375" style="6" customWidth="1"/>
    <col min="6917" max="6917" width="9.125" style="6"/>
    <col min="6918" max="6918" width="17" style="6" customWidth="1"/>
    <col min="6919" max="6919" width="9.125" style="6"/>
    <col min="6920" max="6920" width="27.375" style="6" bestFit="1" customWidth="1"/>
    <col min="6921" max="7169" width="9.125" style="6"/>
    <col min="7170" max="7170" width="33" style="6" customWidth="1"/>
    <col min="7171" max="7171" width="13.5" style="6" customWidth="1"/>
    <col min="7172" max="7172" width="19.375" style="6" customWidth="1"/>
    <col min="7173" max="7173" width="9.125" style="6"/>
    <col min="7174" max="7174" width="17" style="6" customWidth="1"/>
    <col min="7175" max="7175" width="9.125" style="6"/>
    <col min="7176" max="7176" width="27.375" style="6" bestFit="1" customWidth="1"/>
    <col min="7177" max="7425" width="9.125" style="6"/>
    <col min="7426" max="7426" width="33" style="6" customWidth="1"/>
    <col min="7427" max="7427" width="13.5" style="6" customWidth="1"/>
    <col min="7428" max="7428" width="19.375" style="6" customWidth="1"/>
    <col min="7429" max="7429" width="9.125" style="6"/>
    <col min="7430" max="7430" width="17" style="6" customWidth="1"/>
    <col min="7431" max="7431" width="9.125" style="6"/>
    <col min="7432" max="7432" width="27.375" style="6" bestFit="1" customWidth="1"/>
    <col min="7433" max="7681" width="9.125" style="6"/>
    <col min="7682" max="7682" width="33" style="6" customWidth="1"/>
    <col min="7683" max="7683" width="13.5" style="6" customWidth="1"/>
    <col min="7684" max="7684" width="19.375" style="6" customWidth="1"/>
    <col min="7685" max="7685" width="9.125" style="6"/>
    <col min="7686" max="7686" width="17" style="6" customWidth="1"/>
    <col min="7687" max="7687" width="9.125" style="6"/>
    <col min="7688" max="7688" width="27.375" style="6" bestFit="1" customWidth="1"/>
    <col min="7689" max="7937" width="9.125" style="6"/>
    <col min="7938" max="7938" width="33" style="6" customWidth="1"/>
    <col min="7939" max="7939" width="13.5" style="6" customWidth="1"/>
    <col min="7940" max="7940" width="19.375" style="6" customWidth="1"/>
    <col min="7941" max="7941" width="9.125" style="6"/>
    <col min="7942" max="7942" width="17" style="6" customWidth="1"/>
    <col min="7943" max="7943" width="9.125" style="6"/>
    <col min="7944" max="7944" width="27.375" style="6" bestFit="1" customWidth="1"/>
    <col min="7945" max="8193" width="9.125" style="6"/>
    <col min="8194" max="8194" width="33" style="6" customWidth="1"/>
    <col min="8195" max="8195" width="13.5" style="6" customWidth="1"/>
    <col min="8196" max="8196" width="19.375" style="6" customWidth="1"/>
    <col min="8197" max="8197" width="9.125" style="6"/>
    <col min="8198" max="8198" width="17" style="6" customWidth="1"/>
    <col min="8199" max="8199" width="9.125" style="6"/>
    <col min="8200" max="8200" width="27.375" style="6" bestFit="1" customWidth="1"/>
    <col min="8201" max="8449" width="9.125" style="6"/>
    <col min="8450" max="8450" width="33" style="6" customWidth="1"/>
    <col min="8451" max="8451" width="13.5" style="6" customWidth="1"/>
    <col min="8452" max="8452" width="19.375" style="6" customWidth="1"/>
    <col min="8453" max="8453" width="9.125" style="6"/>
    <col min="8454" max="8454" width="17" style="6" customWidth="1"/>
    <col min="8455" max="8455" width="9.125" style="6"/>
    <col min="8456" max="8456" width="27.375" style="6" bestFit="1" customWidth="1"/>
    <col min="8457" max="8705" width="9.125" style="6"/>
    <col min="8706" max="8706" width="33" style="6" customWidth="1"/>
    <col min="8707" max="8707" width="13.5" style="6" customWidth="1"/>
    <col min="8708" max="8708" width="19.375" style="6" customWidth="1"/>
    <col min="8709" max="8709" width="9.125" style="6"/>
    <col min="8710" max="8710" width="17" style="6" customWidth="1"/>
    <col min="8711" max="8711" width="9.125" style="6"/>
    <col min="8712" max="8712" width="27.375" style="6" bestFit="1" customWidth="1"/>
    <col min="8713" max="8961" width="9.125" style="6"/>
    <col min="8962" max="8962" width="33" style="6" customWidth="1"/>
    <col min="8963" max="8963" width="13.5" style="6" customWidth="1"/>
    <col min="8964" max="8964" width="19.375" style="6" customWidth="1"/>
    <col min="8965" max="8965" width="9.125" style="6"/>
    <col min="8966" max="8966" width="17" style="6" customWidth="1"/>
    <col min="8967" max="8967" width="9.125" style="6"/>
    <col min="8968" max="8968" width="27.375" style="6" bestFit="1" customWidth="1"/>
    <col min="8969" max="9217" width="9.125" style="6"/>
    <col min="9218" max="9218" width="33" style="6" customWidth="1"/>
    <col min="9219" max="9219" width="13.5" style="6" customWidth="1"/>
    <col min="9220" max="9220" width="19.375" style="6" customWidth="1"/>
    <col min="9221" max="9221" width="9.125" style="6"/>
    <col min="9222" max="9222" width="17" style="6" customWidth="1"/>
    <col min="9223" max="9223" width="9.125" style="6"/>
    <col min="9224" max="9224" width="27.375" style="6" bestFit="1" customWidth="1"/>
    <col min="9225" max="9473" width="9.125" style="6"/>
    <col min="9474" max="9474" width="33" style="6" customWidth="1"/>
    <col min="9475" max="9475" width="13.5" style="6" customWidth="1"/>
    <col min="9476" max="9476" width="19.375" style="6" customWidth="1"/>
    <col min="9477" max="9477" width="9.125" style="6"/>
    <col min="9478" max="9478" width="17" style="6" customWidth="1"/>
    <col min="9479" max="9479" width="9.125" style="6"/>
    <col min="9480" max="9480" width="27.375" style="6" bestFit="1" customWidth="1"/>
    <col min="9481" max="9729" width="9.125" style="6"/>
    <col min="9730" max="9730" width="33" style="6" customWidth="1"/>
    <col min="9731" max="9731" width="13.5" style="6" customWidth="1"/>
    <col min="9732" max="9732" width="19.375" style="6" customWidth="1"/>
    <col min="9733" max="9733" width="9.125" style="6"/>
    <col min="9734" max="9734" width="17" style="6" customWidth="1"/>
    <col min="9735" max="9735" width="9.125" style="6"/>
    <col min="9736" max="9736" width="27.375" style="6" bestFit="1" customWidth="1"/>
    <col min="9737" max="9985" width="9.125" style="6"/>
    <col min="9986" max="9986" width="33" style="6" customWidth="1"/>
    <col min="9987" max="9987" width="13.5" style="6" customWidth="1"/>
    <col min="9988" max="9988" width="19.375" style="6" customWidth="1"/>
    <col min="9989" max="9989" width="9.125" style="6"/>
    <col min="9990" max="9990" width="17" style="6" customWidth="1"/>
    <col min="9991" max="9991" width="9.125" style="6"/>
    <col min="9992" max="9992" width="27.375" style="6" bestFit="1" customWidth="1"/>
    <col min="9993" max="10241" width="9.125" style="6"/>
    <col min="10242" max="10242" width="33" style="6" customWidth="1"/>
    <col min="10243" max="10243" width="13.5" style="6" customWidth="1"/>
    <col min="10244" max="10244" width="19.375" style="6" customWidth="1"/>
    <col min="10245" max="10245" width="9.125" style="6"/>
    <col min="10246" max="10246" width="17" style="6" customWidth="1"/>
    <col min="10247" max="10247" width="9.125" style="6"/>
    <col min="10248" max="10248" width="27.375" style="6" bestFit="1" customWidth="1"/>
    <col min="10249" max="10497" width="9.125" style="6"/>
    <col min="10498" max="10498" width="33" style="6" customWidth="1"/>
    <col min="10499" max="10499" width="13.5" style="6" customWidth="1"/>
    <col min="10500" max="10500" width="19.375" style="6" customWidth="1"/>
    <col min="10501" max="10501" width="9.125" style="6"/>
    <col min="10502" max="10502" width="17" style="6" customWidth="1"/>
    <col min="10503" max="10503" width="9.125" style="6"/>
    <col min="10504" max="10504" width="27.375" style="6" bestFit="1" customWidth="1"/>
    <col min="10505" max="10753" width="9.125" style="6"/>
    <col min="10754" max="10754" width="33" style="6" customWidth="1"/>
    <col min="10755" max="10755" width="13.5" style="6" customWidth="1"/>
    <col min="10756" max="10756" width="19.375" style="6" customWidth="1"/>
    <col min="10757" max="10757" width="9.125" style="6"/>
    <col min="10758" max="10758" width="17" style="6" customWidth="1"/>
    <col min="10759" max="10759" width="9.125" style="6"/>
    <col min="10760" max="10760" width="27.375" style="6" bestFit="1" customWidth="1"/>
    <col min="10761" max="11009" width="9.125" style="6"/>
    <col min="11010" max="11010" width="33" style="6" customWidth="1"/>
    <col min="11011" max="11011" width="13.5" style="6" customWidth="1"/>
    <col min="11012" max="11012" width="19.375" style="6" customWidth="1"/>
    <col min="11013" max="11013" width="9.125" style="6"/>
    <col min="11014" max="11014" width="17" style="6" customWidth="1"/>
    <col min="11015" max="11015" width="9.125" style="6"/>
    <col min="11016" max="11016" width="27.375" style="6" bestFit="1" customWidth="1"/>
    <col min="11017" max="11265" width="9.125" style="6"/>
    <col min="11266" max="11266" width="33" style="6" customWidth="1"/>
    <col min="11267" max="11267" width="13.5" style="6" customWidth="1"/>
    <col min="11268" max="11268" width="19.375" style="6" customWidth="1"/>
    <col min="11269" max="11269" width="9.125" style="6"/>
    <col min="11270" max="11270" width="17" style="6" customWidth="1"/>
    <col min="11271" max="11271" width="9.125" style="6"/>
    <col min="11272" max="11272" width="27.375" style="6" bestFit="1" customWidth="1"/>
    <col min="11273" max="11521" width="9.125" style="6"/>
    <col min="11522" max="11522" width="33" style="6" customWidth="1"/>
    <col min="11523" max="11523" width="13.5" style="6" customWidth="1"/>
    <col min="11524" max="11524" width="19.375" style="6" customWidth="1"/>
    <col min="11525" max="11525" width="9.125" style="6"/>
    <col min="11526" max="11526" width="17" style="6" customWidth="1"/>
    <col min="11527" max="11527" width="9.125" style="6"/>
    <col min="11528" max="11528" width="27.375" style="6" bestFit="1" customWidth="1"/>
    <col min="11529" max="11777" width="9.125" style="6"/>
    <col min="11778" max="11778" width="33" style="6" customWidth="1"/>
    <col min="11779" max="11779" width="13.5" style="6" customWidth="1"/>
    <col min="11780" max="11780" width="19.375" style="6" customWidth="1"/>
    <col min="11781" max="11781" width="9.125" style="6"/>
    <col min="11782" max="11782" width="17" style="6" customWidth="1"/>
    <col min="11783" max="11783" width="9.125" style="6"/>
    <col min="11784" max="11784" width="27.375" style="6" bestFit="1" customWidth="1"/>
    <col min="11785" max="12033" width="9.125" style="6"/>
    <col min="12034" max="12034" width="33" style="6" customWidth="1"/>
    <col min="12035" max="12035" width="13.5" style="6" customWidth="1"/>
    <col min="12036" max="12036" width="19.375" style="6" customWidth="1"/>
    <col min="12037" max="12037" width="9.125" style="6"/>
    <col min="12038" max="12038" width="17" style="6" customWidth="1"/>
    <col min="12039" max="12039" width="9.125" style="6"/>
    <col min="12040" max="12040" width="27.375" style="6" bestFit="1" customWidth="1"/>
    <col min="12041" max="12289" width="9.125" style="6"/>
    <col min="12290" max="12290" width="33" style="6" customWidth="1"/>
    <col min="12291" max="12291" width="13.5" style="6" customWidth="1"/>
    <col min="12292" max="12292" width="19.375" style="6" customWidth="1"/>
    <col min="12293" max="12293" width="9.125" style="6"/>
    <col min="12294" max="12294" width="17" style="6" customWidth="1"/>
    <col min="12295" max="12295" width="9.125" style="6"/>
    <col min="12296" max="12296" width="27.375" style="6" bestFit="1" customWidth="1"/>
    <col min="12297" max="12545" width="9.125" style="6"/>
    <col min="12546" max="12546" width="33" style="6" customWidth="1"/>
    <col min="12547" max="12547" width="13.5" style="6" customWidth="1"/>
    <col min="12548" max="12548" width="19.375" style="6" customWidth="1"/>
    <col min="12549" max="12549" width="9.125" style="6"/>
    <col min="12550" max="12550" width="17" style="6" customWidth="1"/>
    <col min="12551" max="12551" width="9.125" style="6"/>
    <col min="12552" max="12552" width="27.375" style="6" bestFit="1" customWidth="1"/>
    <col min="12553" max="12801" width="9.125" style="6"/>
    <col min="12802" max="12802" width="33" style="6" customWidth="1"/>
    <col min="12803" max="12803" width="13.5" style="6" customWidth="1"/>
    <col min="12804" max="12804" width="19.375" style="6" customWidth="1"/>
    <col min="12805" max="12805" width="9.125" style="6"/>
    <col min="12806" max="12806" width="17" style="6" customWidth="1"/>
    <col min="12807" max="12807" width="9.125" style="6"/>
    <col min="12808" max="12808" width="27.375" style="6" bestFit="1" customWidth="1"/>
    <col min="12809" max="13057" width="9.125" style="6"/>
    <col min="13058" max="13058" width="33" style="6" customWidth="1"/>
    <col min="13059" max="13059" width="13.5" style="6" customWidth="1"/>
    <col min="13060" max="13060" width="19.375" style="6" customWidth="1"/>
    <col min="13061" max="13061" width="9.125" style="6"/>
    <col min="13062" max="13062" width="17" style="6" customWidth="1"/>
    <col min="13063" max="13063" width="9.125" style="6"/>
    <col min="13064" max="13064" width="27.375" style="6" bestFit="1" customWidth="1"/>
    <col min="13065" max="13313" width="9.125" style="6"/>
    <col min="13314" max="13314" width="33" style="6" customWidth="1"/>
    <col min="13315" max="13315" width="13.5" style="6" customWidth="1"/>
    <col min="13316" max="13316" width="19.375" style="6" customWidth="1"/>
    <col min="13317" max="13317" width="9.125" style="6"/>
    <col min="13318" max="13318" width="17" style="6" customWidth="1"/>
    <col min="13319" max="13319" width="9.125" style="6"/>
    <col min="13320" max="13320" width="27.375" style="6" bestFit="1" customWidth="1"/>
    <col min="13321" max="13569" width="9.125" style="6"/>
    <col min="13570" max="13570" width="33" style="6" customWidth="1"/>
    <col min="13571" max="13571" width="13.5" style="6" customWidth="1"/>
    <col min="13572" max="13572" width="19.375" style="6" customWidth="1"/>
    <col min="13573" max="13573" width="9.125" style="6"/>
    <col min="13574" max="13574" width="17" style="6" customWidth="1"/>
    <col min="13575" max="13575" width="9.125" style="6"/>
    <col min="13576" max="13576" width="27.375" style="6" bestFit="1" customWidth="1"/>
    <col min="13577" max="13825" width="9.125" style="6"/>
    <col min="13826" max="13826" width="33" style="6" customWidth="1"/>
    <col min="13827" max="13827" width="13.5" style="6" customWidth="1"/>
    <col min="13828" max="13828" width="19.375" style="6" customWidth="1"/>
    <col min="13829" max="13829" width="9.125" style="6"/>
    <col min="13830" max="13830" width="17" style="6" customWidth="1"/>
    <col min="13831" max="13831" width="9.125" style="6"/>
    <col min="13832" max="13832" width="27.375" style="6" bestFit="1" customWidth="1"/>
    <col min="13833" max="14081" width="9.125" style="6"/>
    <col min="14082" max="14082" width="33" style="6" customWidth="1"/>
    <col min="14083" max="14083" width="13.5" style="6" customWidth="1"/>
    <col min="14084" max="14084" width="19.375" style="6" customWidth="1"/>
    <col min="14085" max="14085" width="9.125" style="6"/>
    <col min="14086" max="14086" width="17" style="6" customWidth="1"/>
    <col min="14087" max="14087" width="9.125" style="6"/>
    <col min="14088" max="14088" width="27.375" style="6" bestFit="1" customWidth="1"/>
    <col min="14089" max="14337" width="9.125" style="6"/>
    <col min="14338" max="14338" width="33" style="6" customWidth="1"/>
    <col min="14339" max="14339" width="13.5" style="6" customWidth="1"/>
    <col min="14340" max="14340" width="19.375" style="6" customWidth="1"/>
    <col min="14341" max="14341" width="9.125" style="6"/>
    <col min="14342" max="14342" width="17" style="6" customWidth="1"/>
    <col min="14343" max="14343" width="9.125" style="6"/>
    <col min="14344" max="14344" width="27.375" style="6" bestFit="1" customWidth="1"/>
    <col min="14345" max="14593" width="9.125" style="6"/>
    <col min="14594" max="14594" width="33" style="6" customWidth="1"/>
    <col min="14595" max="14595" width="13.5" style="6" customWidth="1"/>
    <col min="14596" max="14596" width="19.375" style="6" customWidth="1"/>
    <col min="14597" max="14597" width="9.125" style="6"/>
    <col min="14598" max="14598" width="17" style="6" customWidth="1"/>
    <col min="14599" max="14599" width="9.125" style="6"/>
    <col min="14600" max="14600" width="27.375" style="6" bestFit="1" customWidth="1"/>
    <col min="14601" max="14849" width="9.125" style="6"/>
    <col min="14850" max="14850" width="33" style="6" customWidth="1"/>
    <col min="14851" max="14851" width="13.5" style="6" customWidth="1"/>
    <col min="14852" max="14852" width="19.375" style="6" customWidth="1"/>
    <col min="14853" max="14853" width="9.125" style="6"/>
    <col min="14854" max="14854" width="17" style="6" customWidth="1"/>
    <col min="14855" max="14855" width="9.125" style="6"/>
    <col min="14856" max="14856" width="27.375" style="6" bestFit="1" customWidth="1"/>
    <col min="14857" max="15105" width="9.125" style="6"/>
    <col min="15106" max="15106" width="33" style="6" customWidth="1"/>
    <col min="15107" max="15107" width="13.5" style="6" customWidth="1"/>
    <col min="15108" max="15108" width="19.375" style="6" customWidth="1"/>
    <col min="15109" max="15109" width="9.125" style="6"/>
    <col min="15110" max="15110" width="17" style="6" customWidth="1"/>
    <col min="15111" max="15111" width="9.125" style="6"/>
    <col min="15112" max="15112" width="27.375" style="6" bestFit="1" customWidth="1"/>
    <col min="15113" max="15361" width="9.125" style="6"/>
    <col min="15362" max="15362" width="33" style="6" customWidth="1"/>
    <col min="15363" max="15363" width="13.5" style="6" customWidth="1"/>
    <col min="15364" max="15364" width="19.375" style="6" customWidth="1"/>
    <col min="15365" max="15365" width="9.125" style="6"/>
    <col min="15366" max="15366" width="17" style="6" customWidth="1"/>
    <col min="15367" max="15367" width="9.125" style="6"/>
    <col min="15368" max="15368" width="27.375" style="6" bestFit="1" customWidth="1"/>
    <col min="15369" max="15617" width="9.125" style="6"/>
    <col min="15618" max="15618" width="33" style="6" customWidth="1"/>
    <col min="15619" max="15619" width="13.5" style="6" customWidth="1"/>
    <col min="15620" max="15620" width="19.375" style="6" customWidth="1"/>
    <col min="15621" max="15621" width="9.125" style="6"/>
    <col min="15622" max="15622" width="17" style="6" customWidth="1"/>
    <col min="15623" max="15623" width="9.125" style="6"/>
    <col min="15624" max="15624" width="27.375" style="6" bestFit="1" customWidth="1"/>
    <col min="15625" max="15873" width="9.125" style="6"/>
    <col min="15874" max="15874" width="33" style="6" customWidth="1"/>
    <col min="15875" max="15875" width="13.5" style="6" customWidth="1"/>
    <col min="15876" max="15876" width="19.375" style="6" customWidth="1"/>
    <col min="15877" max="15877" width="9.125" style="6"/>
    <col min="15878" max="15878" width="17" style="6" customWidth="1"/>
    <col min="15879" max="15879" width="9.125" style="6"/>
    <col min="15880" max="15880" width="27.375" style="6" bestFit="1" customWidth="1"/>
    <col min="15881" max="16129" width="9.125" style="6"/>
    <col min="16130" max="16130" width="33" style="6" customWidth="1"/>
    <col min="16131" max="16131" width="13.5" style="6" customWidth="1"/>
    <col min="16132" max="16132" width="19.375" style="6" customWidth="1"/>
    <col min="16133" max="16133" width="9.125" style="6"/>
    <col min="16134" max="16134" width="17" style="6" customWidth="1"/>
    <col min="16135" max="16135" width="9.125" style="6"/>
    <col min="16136" max="16136" width="27.375" style="6" bestFit="1" customWidth="1"/>
    <col min="16137" max="16384" width="9.125" style="6"/>
  </cols>
  <sheetData>
    <row r="1" spans="1:4" x14ac:dyDescent="0.3">
      <c r="A1" s="320" t="s">
        <v>30</v>
      </c>
      <c r="B1" s="320"/>
      <c r="C1" s="320"/>
      <c r="D1" s="320"/>
    </row>
    <row r="2" spans="1:4" x14ac:dyDescent="0.3">
      <c r="A2" s="2"/>
      <c r="B2" s="2"/>
      <c r="C2" s="2"/>
      <c r="D2" s="2"/>
    </row>
    <row r="3" spans="1:4" x14ac:dyDescent="0.3">
      <c r="A3" s="3" t="s">
        <v>0</v>
      </c>
      <c r="B3" s="3" t="s">
        <v>31</v>
      </c>
      <c r="C3" s="3" t="s">
        <v>32</v>
      </c>
      <c r="D3" s="3" t="s">
        <v>33</v>
      </c>
    </row>
    <row r="4" spans="1:4" x14ac:dyDescent="0.3">
      <c r="A4" s="9">
        <v>1</v>
      </c>
      <c r="B4" s="17" t="s">
        <v>34</v>
      </c>
      <c r="C4" s="9" t="s">
        <v>35</v>
      </c>
      <c r="D4" s="4">
        <v>150000</v>
      </c>
    </row>
    <row r="5" spans="1:4" x14ac:dyDescent="0.3">
      <c r="A5" s="9">
        <v>2</v>
      </c>
      <c r="B5" s="17" t="s">
        <v>36</v>
      </c>
      <c r="C5" s="9" t="s">
        <v>35</v>
      </c>
      <c r="D5" s="4">
        <v>87000</v>
      </c>
    </row>
    <row r="6" spans="1:4" x14ac:dyDescent="0.3">
      <c r="A6" s="9">
        <v>3</v>
      </c>
      <c r="B6" s="17" t="s">
        <v>37</v>
      </c>
      <c r="C6" s="9" t="s">
        <v>35</v>
      </c>
      <c r="D6" s="4">
        <v>800000</v>
      </c>
    </row>
    <row r="7" spans="1:4" x14ac:dyDescent="0.3">
      <c r="A7" s="9">
        <v>4</v>
      </c>
      <c r="B7" s="17" t="s">
        <v>38</v>
      </c>
      <c r="C7" s="9" t="s">
        <v>35</v>
      </c>
      <c r="D7" s="4">
        <v>18000</v>
      </c>
    </row>
    <row r="8" spans="1:4" x14ac:dyDescent="0.3">
      <c r="A8" s="9">
        <v>5</v>
      </c>
      <c r="B8" s="17" t="s">
        <v>39</v>
      </c>
      <c r="C8" s="9" t="s">
        <v>35</v>
      </c>
      <c r="D8" s="4">
        <v>6500</v>
      </c>
    </row>
    <row r="9" spans="1:4" x14ac:dyDescent="0.3">
      <c r="A9" s="9">
        <v>6</v>
      </c>
      <c r="B9" s="17" t="s">
        <v>40</v>
      </c>
      <c r="C9" s="9" t="s">
        <v>41</v>
      </c>
      <c r="D9" s="4">
        <v>94000</v>
      </c>
    </row>
    <row r="10" spans="1:4" x14ac:dyDescent="0.3">
      <c r="A10" s="9">
        <v>7</v>
      </c>
      <c r="B10" s="17" t="s">
        <v>42</v>
      </c>
      <c r="C10" s="9" t="s">
        <v>43</v>
      </c>
      <c r="D10" s="4">
        <v>3000</v>
      </c>
    </row>
    <row r="11" spans="1:4" x14ac:dyDescent="0.3">
      <c r="A11" s="9">
        <v>8</v>
      </c>
      <c r="B11" s="17" t="s">
        <v>44</v>
      </c>
      <c r="C11" s="9" t="s">
        <v>35</v>
      </c>
      <c r="D11" s="4">
        <v>65000</v>
      </c>
    </row>
    <row r="12" spans="1:4" x14ac:dyDescent="0.3">
      <c r="A12" s="9">
        <v>9</v>
      </c>
      <c r="B12" s="17" t="s">
        <v>45</v>
      </c>
      <c r="C12" s="9" t="s">
        <v>35</v>
      </c>
      <c r="D12" s="4">
        <v>550000</v>
      </c>
    </row>
    <row r="13" spans="1:4" x14ac:dyDescent="0.3">
      <c r="A13" s="9">
        <v>10</v>
      </c>
      <c r="B13" s="17" t="s">
        <v>46</v>
      </c>
      <c r="C13" s="9" t="s">
        <v>47</v>
      </c>
      <c r="D13" s="4">
        <v>54167</v>
      </c>
    </row>
    <row r="14" spans="1:4" x14ac:dyDescent="0.3">
      <c r="A14" s="9">
        <v>11</v>
      </c>
      <c r="B14" s="17" t="s">
        <v>48</v>
      </c>
      <c r="C14" s="9" t="s">
        <v>35</v>
      </c>
      <c r="D14" s="4">
        <v>2500</v>
      </c>
    </row>
    <row r="15" spans="1:4" x14ac:dyDescent="0.3">
      <c r="A15" s="9">
        <v>12</v>
      </c>
      <c r="B15" s="17" t="s">
        <v>49</v>
      </c>
      <c r="C15" s="9" t="s">
        <v>35</v>
      </c>
      <c r="D15" s="4">
        <v>14500</v>
      </c>
    </row>
    <row r="16" spans="1:4" x14ac:dyDescent="0.3">
      <c r="A16" s="9">
        <v>13</v>
      </c>
      <c r="B16" s="17" t="s">
        <v>50</v>
      </c>
      <c r="C16" s="9" t="s">
        <v>35</v>
      </c>
      <c r="D16" s="4">
        <v>960000</v>
      </c>
    </row>
    <row r="17" spans="1:6" x14ac:dyDescent="0.3">
      <c r="A17" s="9">
        <v>14</v>
      </c>
      <c r="B17" s="17" t="s">
        <v>51</v>
      </c>
      <c r="C17" s="9" t="s">
        <v>35</v>
      </c>
      <c r="D17" s="4">
        <v>18490000</v>
      </c>
    </row>
    <row r="18" spans="1:6" x14ac:dyDescent="0.3">
      <c r="A18" s="9">
        <v>15</v>
      </c>
      <c r="B18" s="17" t="s">
        <v>52</v>
      </c>
      <c r="C18" s="9" t="s">
        <v>35</v>
      </c>
      <c r="D18" s="4">
        <v>3300000</v>
      </c>
    </row>
    <row r="19" spans="1:6" x14ac:dyDescent="0.3">
      <c r="A19" s="9">
        <v>16</v>
      </c>
      <c r="B19" s="17" t="s">
        <v>53</v>
      </c>
      <c r="C19" s="9" t="s">
        <v>35</v>
      </c>
      <c r="D19" s="4">
        <v>168000</v>
      </c>
    </row>
    <row r="20" spans="1:6" x14ac:dyDescent="0.3">
      <c r="A20" s="9">
        <v>17</v>
      </c>
      <c r="B20" s="17" t="s">
        <v>54</v>
      </c>
      <c r="C20" s="9" t="s">
        <v>35</v>
      </c>
      <c r="D20" s="4">
        <v>20000</v>
      </c>
    </row>
    <row r="21" spans="1:6" x14ac:dyDescent="0.3">
      <c r="A21" s="9">
        <v>18</v>
      </c>
      <c r="B21" s="17" t="s">
        <v>55</v>
      </c>
      <c r="C21" s="9" t="s">
        <v>35</v>
      </c>
      <c r="D21" s="4">
        <v>625000</v>
      </c>
    </row>
    <row r="22" spans="1:6" x14ac:dyDescent="0.3">
      <c r="A22" s="9">
        <v>19</v>
      </c>
      <c r="B22" s="17" t="s">
        <v>56</v>
      </c>
      <c r="C22" s="9" t="s">
        <v>41</v>
      </c>
      <c r="D22" s="4">
        <v>178000</v>
      </c>
    </row>
    <row r="23" spans="1:6" x14ac:dyDescent="0.3">
      <c r="A23" s="9">
        <v>20</v>
      </c>
      <c r="B23" s="17" t="s">
        <v>57</v>
      </c>
      <c r="C23" s="9" t="s">
        <v>41</v>
      </c>
      <c r="D23" s="4">
        <v>120000</v>
      </c>
    </row>
    <row r="24" spans="1:6" x14ac:dyDescent="0.3">
      <c r="A24" s="9">
        <v>21</v>
      </c>
      <c r="B24" s="17" t="s">
        <v>58</v>
      </c>
      <c r="C24" s="9" t="s">
        <v>35</v>
      </c>
      <c r="D24" s="4">
        <v>165000</v>
      </c>
    </row>
    <row r="25" spans="1:6" x14ac:dyDescent="0.3">
      <c r="A25" s="9">
        <v>22</v>
      </c>
      <c r="B25" s="17" t="s">
        <v>59</v>
      </c>
      <c r="C25" s="9" t="s">
        <v>35</v>
      </c>
      <c r="D25" s="4">
        <v>523000</v>
      </c>
    </row>
    <row r="26" spans="1:6" x14ac:dyDescent="0.3">
      <c r="A26" s="9">
        <v>23</v>
      </c>
      <c r="B26" s="17" t="s">
        <v>60</v>
      </c>
      <c r="C26" s="9" t="s">
        <v>47</v>
      </c>
      <c r="D26" s="4">
        <v>15000</v>
      </c>
    </row>
    <row r="27" spans="1:6" x14ac:dyDescent="0.3">
      <c r="A27" s="9">
        <v>24</v>
      </c>
      <c r="B27" s="17" t="s">
        <v>61</v>
      </c>
      <c r="C27" s="9" t="s">
        <v>35</v>
      </c>
      <c r="D27" s="4">
        <v>15000</v>
      </c>
    </row>
    <row r="28" spans="1:6" x14ac:dyDescent="0.3">
      <c r="A28" s="9">
        <v>25</v>
      </c>
      <c r="B28" s="17" t="s">
        <v>62</v>
      </c>
      <c r="C28" s="9" t="s">
        <v>35</v>
      </c>
      <c r="D28" s="4">
        <v>2310000</v>
      </c>
    </row>
    <row r="29" spans="1:6" x14ac:dyDescent="0.3">
      <c r="A29" s="9">
        <v>26</v>
      </c>
      <c r="B29" s="17" t="s">
        <v>63</v>
      </c>
      <c r="C29" s="9" t="s">
        <v>35</v>
      </c>
      <c r="D29" s="4">
        <v>200000</v>
      </c>
    </row>
    <row r="30" spans="1:6" x14ac:dyDescent="0.3">
      <c r="A30" s="6"/>
      <c r="C30" s="5"/>
      <c r="F30" s="7"/>
    </row>
    <row r="31" spans="1:6" x14ac:dyDescent="0.3">
      <c r="A31" s="321" t="s">
        <v>64</v>
      </c>
      <c r="B31" s="321"/>
      <c r="C31" s="321"/>
      <c r="D31" s="321"/>
    </row>
    <row r="32" spans="1:6" x14ac:dyDescent="0.3">
      <c r="A32" s="3" t="s">
        <v>0</v>
      </c>
      <c r="B32" s="3" t="s">
        <v>65</v>
      </c>
      <c r="C32" s="3" t="s">
        <v>32</v>
      </c>
      <c r="D32" s="8" t="s">
        <v>66</v>
      </c>
    </row>
    <row r="33" spans="1:4" x14ac:dyDescent="0.3">
      <c r="A33" s="9">
        <v>1</v>
      </c>
      <c r="B33" s="15" t="s">
        <v>69</v>
      </c>
      <c r="C33" s="9" t="s">
        <v>35</v>
      </c>
      <c r="D33" s="10">
        <v>14564000</v>
      </c>
    </row>
    <row r="34" spans="1:4" x14ac:dyDescent="0.3">
      <c r="A34" s="9">
        <v>2</v>
      </c>
      <c r="B34" s="17" t="s">
        <v>73</v>
      </c>
      <c r="C34" s="9" t="s">
        <v>35</v>
      </c>
      <c r="D34" s="10">
        <v>12035000</v>
      </c>
    </row>
    <row r="35" spans="1:4" x14ac:dyDescent="0.3">
      <c r="A35" s="9">
        <v>3</v>
      </c>
      <c r="B35" s="17" t="s">
        <v>68</v>
      </c>
      <c r="C35" s="9" t="s">
        <v>35</v>
      </c>
      <c r="D35" s="10">
        <v>9500000</v>
      </c>
    </row>
    <row r="36" spans="1:4" x14ac:dyDescent="0.3">
      <c r="A36" s="9">
        <v>4</v>
      </c>
      <c r="B36" s="15" t="s">
        <v>136</v>
      </c>
      <c r="C36" s="9" t="s">
        <v>35</v>
      </c>
      <c r="D36" s="10">
        <v>16599000</v>
      </c>
    </row>
    <row r="37" spans="1:4" x14ac:dyDescent="0.3">
      <c r="A37" s="9">
        <v>5</v>
      </c>
      <c r="B37" s="15" t="s">
        <v>72</v>
      </c>
      <c r="C37" s="9" t="s">
        <v>35</v>
      </c>
      <c r="D37" s="10">
        <v>15000000</v>
      </c>
    </row>
    <row r="38" spans="1:4" x14ac:dyDescent="0.3">
      <c r="A38" s="9">
        <v>6</v>
      </c>
      <c r="B38" s="17" t="s">
        <v>70</v>
      </c>
      <c r="C38" s="9" t="s">
        <v>35</v>
      </c>
      <c r="D38" s="10">
        <v>36075000</v>
      </c>
    </row>
    <row r="39" spans="1:4" x14ac:dyDescent="0.3">
      <c r="A39" s="9">
        <v>7</v>
      </c>
      <c r="B39" s="15" t="s">
        <v>67</v>
      </c>
      <c r="C39" s="9" t="s">
        <v>35</v>
      </c>
      <c r="D39" s="10">
        <v>5500000</v>
      </c>
    </row>
    <row r="40" spans="1:4" x14ac:dyDescent="0.3">
      <c r="A40" s="9">
        <v>8</v>
      </c>
      <c r="B40" s="15" t="s">
        <v>135</v>
      </c>
      <c r="C40" s="9" t="s">
        <v>35</v>
      </c>
      <c r="D40" s="10">
        <v>6790000</v>
      </c>
    </row>
    <row r="41" spans="1:4" x14ac:dyDescent="0.3">
      <c r="A41" s="9">
        <v>9</v>
      </c>
      <c r="B41" s="17" t="s">
        <v>71</v>
      </c>
      <c r="C41" s="9" t="s">
        <v>35</v>
      </c>
      <c r="D41" s="10">
        <v>5500000</v>
      </c>
    </row>
    <row r="42" spans="1:4" x14ac:dyDescent="0.3">
      <c r="A42" s="9">
        <v>10</v>
      </c>
      <c r="B42" s="17" t="s">
        <v>42</v>
      </c>
      <c r="C42" s="9" t="s">
        <v>43</v>
      </c>
      <c r="D42" s="4">
        <v>3000</v>
      </c>
    </row>
    <row r="43" spans="1:4" x14ac:dyDescent="0.3">
      <c r="A43" s="11"/>
      <c r="B43" s="18"/>
      <c r="C43" s="11"/>
      <c r="D43" s="12"/>
    </row>
    <row r="44" spans="1:4" x14ac:dyDescent="0.3">
      <c r="A44" s="322" t="s">
        <v>74</v>
      </c>
      <c r="B44" s="322"/>
      <c r="C44" s="322"/>
      <c r="D44" s="322"/>
    </row>
    <row r="45" spans="1:4" x14ac:dyDescent="0.3">
      <c r="A45" s="3" t="s">
        <v>0</v>
      </c>
      <c r="B45" s="3" t="s">
        <v>75</v>
      </c>
      <c r="C45" s="3" t="s">
        <v>32</v>
      </c>
      <c r="D45" s="3" t="s">
        <v>33</v>
      </c>
    </row>
    <row r="46" spans="1:4" x14ac:dyDescent="0.3">
      <c r="A46" s="9">
        <v>1</v>
      </c>
      <c r="B46" s="15" t="s">
        <v>76</v>
      </c>
      <c r="C46" s="9" t="s">
        <v>77</v>
      </c>
      <c r="D46" s="13">
        <v>12000</v>
      </c>
    </row>
    <row r="47" spans="1:4" x14ac:dyDescent="0.3">
      <c r="A47" s="9">
        <v>2</v>
      </c>
      <c r="B47" s="15" t="s">
        <v>78</v>
      </c>
      <c r="C47" s="9" t="s">
        <v>35</v>
      </c>
      <c r="D47" s="13">
        <v>3000</v>
      </c>
    </row>
    <row r="48" spans="1:4" x14ac:dyDescent="0.3">
      <c r="A48" s="9">
        <v>3</v>
      </c>
      <c r="B48" s="15" t="s">
        <v>79</v>
      </c>
      <c r="C48" s="14" t="s">
        <v>35</v>
      </c>
      <c r="D48" s="13">
        <v>2500</v>
      </c>
    </row>
    <row r="49" spans="1:4" x14ac:dyDescent="0.3">
      <c r="A49" s="9">
        <v>4</v>
      </c>
      <c r="B49" s="15" t="s">
        <v>80</v>
      </c>
      <c r="C49" s="9" t="s">
        <v>35</v>
      </c>
      <c r="D49" s="13">
        <v>14850</v>
      </c>
    </row>
    <row r="50" spans="1:4" x14ac:dyDescent="0.3">
      <c r="A50" s="9">
        <v>5</v>
      </c>
      <c r="B50" s="15" t="s">
        <v>81</v>
      </c>
      <c r="C50" s="14" t="s">
        <v>35</v>
      </c>
      <c r="D50" s="13">
        <v>8000</v>
      </c>
    </row>
    <row r="51" spans="1:4" x14ac:dyDescent="0.3">
      <c r="A51" s="9">
        <v>6</v>
      </c>
      <c r="B51" s="15" t="s">
        <v>82</v>
      </c>
      <c r="C51" s="14" t="s">
        <v>35</v>
      </c>
      <c r="D51" s="13">
        <v>16500</v>
      </c>
    </row>
    <row r="52" spans="1:4" x14ac:dyDescent="0.3">
      <c r="A52" s="9">
        <v>7</v>
      </c>
      <c r="B52" s="15" t="s">
        <v>83</v>
      </c>
      <c r="C52" s="9" t="s">
        <v>35</v>
      </c>
      <c r="D52" s="13">
        <v>5000</v>
      </c>
    </row>
    <row r="53" spans="1:4" x14ac:dyDescent="0.3">
      <c r="A53" s="9">
        <v>8</v>
      </c>
      <c r="B53" s="17" t="s">
        <v>84</v>
      </c>
      <c r="C53" s="9" t="s">
        <v>85</v>
      </c>
      <c r="D53" s="13">
        <v>4200</v>
      </c>
    </row>
    <row r="54" spans="1:4" x14ac:dyDescent="0.3">
      <c r="A54" s="9">
        <v>9</v>
      </c>
      <c r="B54" s="17" t="s">
        <v>86</v>
      </c>
      <c r="C54" s="9" t="s">
        <v>85</v>
      </c>
      <c r="D54" s="13">
        <v>2700</v>
      </c>
    </row>
    <row r="55" spans="1:4" x14ac:dyDescent="0.3">
      <c r="A55" s="9">
        <v>10</v>
      </c>
      <c r="B55" s="15" t="s">
        <v>87</v>
      </c>
      <c r="C55" s="9" t="s">
        <v>88</v>
      </c>
      <c r="D55" s="13">
        <v>145000</v>
      </c>
    </row>
    <row r="56" spans="1:4" x14ac:dyDescent="0.3">
      <c r="A56" s="9">
        <v>11</v>
      </c>
      <c r="B56" s="19" t="s">
        <v>89</v>
      </c>
      <c r="C56" s="9" t="s">
        <v>88</v>
      </c>
      <c r="D56" s="13">
        <v>65000</v>
      </c>
    </row>
    <row r="57" spans="1:4" x14ac:dyDescent="0.3">
      <c r="A57" s="9">
        <v>12</v>
      </c>
      <c r="B57" s="15" t="s">
        <v>90</v>
      </c>
      <c r="C57" s="9" t="s">
        <v>85</v>
      </c>
      <c r="D57" s="13">
        <v>5000</v>
      </c>
    </row>
    <row r="58" spans="1:4" x14ac:dyDescent="0.3">
      <c r="A58" s="9">
        <v>13</v>
      </c>
      <c r="B58" s="15" t="s">
        <v>91</v>
      </c>
      <c r="C58" s="14" t="s">
        <v>85</v>
      </c>
      <c r="D58" s="13">
        <v>3901000</v>
      </c>
    </row>
    <row r="59" spans="1:4" x14ac:dyDescent="0.3">
      <c r="A59" s="9">
        <v>14</v>
      </c>
      <c r="B59" s="19" t="s">
        <v>92</v>
      </c>
      <c r="C59" s="9" t="s">
        <v>85</v>
      </c>
      <c r="D59" s="13">
        <v>850000</v>
      </c>
    </row>
    <row r="60" spans="1:4" x14ac:dyDescent="0.3">
      <c r="A60" s="9">
        <v>15</v>
      </c>
      <c r="B60" s="15" t="s">
        <v>93</v>
      </c>
      <c r="C60" s="9" t="s">
        <v>94</v>
      </c>
      <c r="D60" s="13">
        <v>14500</v>
      </c>
    </row>
    <row r="61" spans="1:4" x14ac:dyDescent="0.3">
      <c r="A61" s="9">
        <v>16</v>
      </c>
      <c r="B61" s="15" t="s">
        <v>95</v>
      </c>
      <c r="C61" s="14" t="s">
        <v>35</v>
      </c>
      <c r="D61" s="13">
        <v>3600</v>
      </c>
    </row>
    <row r="62" spans="1:4" x14ac:dyDescent="0.3">
      <c r="A62" s="9">
        <v>17</v>
      </c>
      <c r="B62" s="15" t="s">
        <v>96</v>
      </c>
      <c r="C62" s="9" t="s">
        <v>35</v>
      </c>
      <c r="D62" s="13">
        <v>3500</v>
      </c>
    </row>
    <row r="63" spans="1:4" x14ac:dyDescent="0.3">
      <c r="A63" s="6"/>
    </row>
    <row r="64" spans="1:4" x14ac:dyDescent="0.3">
      <c r="A64" s="6"/>
    </row>
    <row r="65" spans="1:1" x14ac:dyDescent="0.3">
      <c r="A65" s="6"/>
    </row>
    <row r="66" spans="1:1" x14ac:dyDescent="0.3">
      <c r="A66" s="6"/>
    </row>
    <row r="67" spans="1:1" x14ac:dyDescent="0.3">
      <c r="A67" s="6"/>
    </row>
    <row r="68" spans="1:1" x14ac:dyDescent="0.3">
      <c r="A68" s="6"/>
    </row>
    <row r="69" spans="1:1" x14ac:dyDescent="0.3">
      <c r="A69" s="6"/>
    </row>
    <row r="70" spans="1:1" x14ac:dyDescent="0.3">
      <c r="A70" s="6"/>
    </row>
    <row r="71" spans="1:1" x14ac:dyDescent="0.3">
      <c r="A71" s="6"/>
    </row>
    <row r="72" spans="1:1" x14ac:dyDescent="0.3">
      <c r="A72" s="6"/>
    </row>
    <row r="73" spans="1:1" x14ac:dyDescent="0.3">
      <c r="A73" s="6"/>
    </row>
    <row r="74" spans="1:1" x14ac:dyDescent="0.3">
      <c r="A74" s="6"/>
    </row>
    <row r="75" spans="1:1" x14ac:dyDescent="0.3">
      <c r="A75" s="6"/>
    </row>
    <row r="76" spans="1:1" x14ac:dyDescent="0.3">
      <c r="A76" s="6"/>
    </row>
  </sheetData>
  <mergeCells count="3">
    <mergeCell ref="A1:D1"/>
    <mergeCell ref="A31:D31"/>
    <mergeCell ref="A44:D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tinh don gia</vt:lpstr>
      <vt:lpstr>Tổng hợp</vt:lpstr>
      <vt:lpstr>Lao đông</vt:lpstr>
      <vt:lpstr>Dụng cụ</vt:lpstr>
      <vt:lpstr>Thiết bị</vt:lpstr>
      <vt:lpstr>Vật liệu</vt:lpstr>
      <vt:lpstr>nang luong</vt:lpstr>
      <vt:lpstr>Lương ngày</vt:lpstr>
      <vt:lpstr>Đơn giá</vt:lpstr>
      <vt:lpstr>heso</vt:lpstr>
      <vt:lpstr>'Dụng cụ'!Print_Area</vt:lpstr>
      <vt:lpstr>'Lương ngày'!Print_Area</vt:lpstr>
      <vt:lpstr>'tinh don gia'!Print_Area</vt:lpstr>
      <vt:lpstr>'Tổng hợp'!Print_Area</vt:lpstr>
      <vt:lpstr>'Thiết bị'!Print_Area</vt:lpstr>
      <vt:lpstr>'Vật liệu'!Print_Area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Long91.thantoc.thienkhoi@gmail.com</dc:creator>
  <cp:lastModifiedBy>Administrator</cp:lastModifiedBy>
  <cp:lastPrinted>2025-03-17T02:16:45Z</cp:lastPrinted>
  <dcterms:created xsi:type="dcterms:W3CDTF">2023-09-05T08:06:51Z</dcterms:created>
  <dcterms:modified xsi:type="dcterms:W3CDTF">2026-07-09T01:40:31Z</dcterms:modified>
</cp:coreProperties>
</file>